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How to use" sheetId="2" state="visible" r:id="rId2"/>
    <sheet xmlns:r="http://schemas.openxmlformats.org/officeDocument/2006/relationships" name="Calculator" sheetId="3" state="visible" r:id="rId3"/>
    <sheet xmlns:r="http://schemas.openxmlformats.org/officeDocument/2006/relationships" name="Year by year" sheetId="4" state="visible" r:id="rId4"/>
    <sheet xmlns:r="http://schemas.openxmlformats.org/officeDocument/2006/relationships" name="Rules" sheetId="5" state="visible" r:id="rId5"/>
    <sheet xmlns:r="http://schemas.openxmlformats.org/officeDocument/2006/relationships" name="Test cas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0000"/>
  </numFmts>
  <fonts count="25">
    <font>
      <name val="Calibri"/>
      <family val="2"/>
      <color theme="1"/>
      <sz val="11"/>
      <scheme val="minor"/>
    </font>
    <font>
      <name val="Arial"/>
      <b val="1"/>
      <color rgb="0014213D"/>
      <sz val="13"/>
    </font>
    <font>
      <name val="Arial"/>
      <i val="1"/>
      <sz val="10"/>
    </font>
    <font>
      <name val="Arial"/>
      <b val="1"/>
      <color rgb="00FFFFFF"/>
    </font>
    <font>
      <name val="Arial"/>
      <color rgb="000000FF"/>
    </font>
    <font>
      <name val="Arial"/>
    </font>
    <font>
      <name val="Arial"/>
      <sz val="9"/>
    </font>
    <font>
      <name val="Arial"/>
      <i val="1"/>
      <sz val="9"/>
    </font>
    <font>
      <name val="Arial"/>
      <b val="1"/>
      <color rgb="0014213D"/>
      <sz val="14"/>
    </font>
    <font>
      <name val="Arial"/>
      <b val="1"/>
      <color rgb="00FF5D8F"/>
    </font>
    <font>
      <name val="Arial"/>
      <b val="1"/>
      <color rgb="000000FF"/>
    </font>
    <font>
      <name val="Arial"/>
      <color rgb="00555555"/>
      <sz val="9"/>
    </font>
    <font>
      <name val="Arial"/>
      <sz val="10"/>
    </font>
    <font>
      <name val="Arial"/>
      <b val="1"/>
      <color rgb="0014213D"/>
    </font>
    <font>
      <name val="Arial"/>
      <b val="1"/>
      <color rgb="0014213D"/>
      <sz val="12"/>
    </font>
    <font>
      <name val="Arial"/>
      <b val="1"/>
      <color rgb="0014213D"/>
      <sz val="22"/>
    </font>
    <font>
      <name val="Arial"/>
      <color rgb="0014213D"/>
      <sz val="13"/>
    </font>
    <font>
      <name val="Arial"/>
      <color rgb="00555555"/>
      <sz val="10"/>
    </font>
    <font>
      <name val="Arial"/>
      <i val="1"/>
      <color rgb="000E7C7B"/>
      <sz val="13"/>
    </font>
    <font>
      <name val="Arial"/>
      <b val="1"/>
      <color rgb="00FF5D8F"/>
      <sz val="12"/>
    </font>
    <font>
      <name val="Arial"/>
      <sz val="11"/>
    </font>
    <font>
      <name val="Arial"/>
      <b val="1"/>
      <color rgb="00FF5D8F"/>
      <sz val="12"/>
      <u val="single"/>
    </font>
    <font>
      <name val="Arial"/>
      <color rgb="000E7C7B"/>
      <sz val="10"/>
      <u val="single"/>
    </font>
    <font>
      <name val="Arial"/>
      <i val="1"/>
      <color rgb="00555555"/>
      <sz val="9"/>
    </font>
    <font>
      <name val="Arial"/>
      <color rgb="00222222"/>
      <sz val="11"/>
    </font>
  </fonts>
  <fills count="7">
    <fill>
      <patternFill/>
    </fill>
    <fill>
      <patternFill patternType="gray125"/>
    </fill>
    <fill>
      <patternFill patternType="solid">
        <fgColor rgb="0014213D"/>
      </patternFill>
    </fill>
    <fill>
      <patternFill patternType="solid">
        <fgColor rgb="00FFF2B3"/>
      </patternFill>
    </fill>
    <fill>
      <patternFill patternType="solid">
        <fgColor rgb="00D5ECEB"/>
      </patternFill>
    </fill>
    <fill>
      <patternFill patternType="solid">
        <fgColor rgb="000E7C7B"/>
      </patternFill>
    </fill>
    <fill>
      <patternFill patternType="solid">
        <fgColor rgb="00FBF7EF"/>
      </patternFill>
    </fill>
  </fills>
  <borders count="1">
    <border>
      <left/>
      <right/>
      <top/>
      <bottom/>
      <diagonal/>
    </border>
  </borders>
  <cellStyleXfs count="1">
    <xf numFmtId="0" fontId="0" fillId="0" borderId="0"/>
  </cellStyleXfs>
  <cellXfs count="36">
    <xf numFmtId="0" fontId="0" fillId="0" borderId="0" pivotButton="0" quotePrefix="0" xfId="0"/>
    <xf numFmtId="0" fontId="0" fillId="5" borderId="0" pivotButton="0" quotePrefix="0" xfId="0"/>
    <xf numFmtId="0" fontId="0" fillId="6" borderId="0" pivotButton="0" quotePrefix="0" xfId="0"/>
    <xf numFmtId="0" fontId="15" fillId="6" borderId="0" pivotButton="0" quotePrefix="0" xfId="0"/>
    <xf numFmtId="0" fontId="16" fillId="6" borderId="0" pivotButton="0" quotePrefix="0" xfId="0"/>
    <xf numFmtId="0" fontId="17" fillId="6" borderId="0" pivotButton="0" quotePrefix="0" xfId="0"/>
    <xf numFmtId="0" fontId="18" fillId="6" borderId="0" pivotButton="0" quotePrefix="0" xfId="0"/>
    <xf numFmtId="0" fontId="19" fillId="6" borderId="0" pivotButton="0" quotePrefix="0" xfId="0"/>
    <xf numFmtId="0" fontId="20" fillId="6" borderId="0" pivotButton="0" quotePrefix="0" xfId="0"/>
    <xf numFmtId="0" fontId="14" fillId="6" borderId="0" pivotButton="0" quotePrefix="0" xfId="0"/>
    <xf numFmtId="0" fontId="21" fillId="6" borderId="0" pivotButton="0" quotePrefix="0" xfId="0"/>
    <xf numFmtId="0" fontId="22" fillId="6" borderId="0" pivotButton="0" quotePrefix="0" xfId="0"/>
    <xf numFmtId="0" fontId="11" fillId="6" borderId="0" pivotButton="0" quotePrefix="0" xfId="0"/>
    <xf numFmtId="0" fontId="23" fillId="6" borderId="0" pivotButton="0" quotePrefix="0" xfId="0"/>
    <xf numFmtId="0" fontId="1" fillId="0" borderId="0" applyAlignment="1" pivotButton="0" quotePrefix="0" xfId="0">
      <alignment vertical="top" wrapText="1"/>
    </xf>
    <xf numFmtId="0" fontId="24" fillId="0" borderId="0" applyAlignment="1" pivotButton="0" quotePrefix="0" xfId="0">
      <alignment vertical="top" wrapText="1"/>
    </xf>
    <xf numFmtId="0" fontId="8" fillId="0" borderId="0" pivotButton="0" quotePrefix="0" xfId="0"/>
    <xf numFmtId="0" fontId="2" fillId="0" borderId="0" pivotButton="0" quotePrefix="0" xfId="0"/>
    <xf numFmtId="0" fontId="9" fillId="0" borderId="0" pivotButton="0" quotePrefix="0" xfId="0"/>
    <xf numFmtId="0" fontId="5" fillId="0" borderId="0" pivotButton="0" quotePrefix="0" xfId="0"/>
    <xf numFmtId="3" fontId="10" fillId="3" borderId="0" pivotButton="0" quotePrefix="0" xfId="0"/>
    <xf numFmtId="0" fontId="11" fillId="0" borderId="0" pivotButton="0" quotePrefix="0" xfId="0"/>
    <xf numFmtId="164" fontId="10" fillId="3" borderId="0" pivotButton="0" quotePrefix="0" xfId="0"/>
    <xf numFmtId="1" fontId="10" fillId="3" borderId="0" pivotButton="0" quotePrefix="0" xfId="0"/>
    <xf numFmtId="0" fontId="12" fillId="0" borderId="0" pivotButton="0" quotePrefix="0" xfId="0"/>
    <xf numFmtId="165" fontId="12" fillId="0" borderId="0" pivotButton="0" quotePrefix="0" xfId="0"/>
    <xf numFmtId="0" fontId="13" fillId="0" borderId="0" pivotButton="0" quotePrefix="0" xfId="0"/>
    <xf numFmtId="3" fontId="14" fillId="4" borderId="0" pivotButton="0" quotePrefix="0" xfId="0"/>
    <xf numFmtId="3" fontId="12" fillId="0" borderId="0" pivotButton="0" quotePrefix="0" xfId="0"/>
    <xf numFmtId="4" fontId="12" fillId="0" borderId="0" pivotButton="0" quotePrefix="0" xfId="0"/>
    <xf numFmtId="0" fontId="7" fillId="0" borderId="0" pivotButton="0" quotePrefix="0" xfId="0"/>
    <xf numFmtId="0" fontId="14" fillId="0" borderId="0" pivotButton="0" quotePrefix="0" xfId="0"/>
    <xf numFmtId="0" fontId="3" fillId="2" borderId="0" pivotButton="0" quotePrefix="0" xfId="0"/>
    <xf numFmtId="0" fontId="1" fillId="0" borderId="0" pivotButton="0" quotePrefix="0" xfId="0"/>
    <xf numFmtId="164" fontId="4" fillId="0" borderId="0" pivotButton="0" quotePrefix="0" xfId="0"/>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1</row>
      <rowOff>0</rowOff>
    </from>
    <ext cx="2857500" cy="8001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hillartheory.com/#subscribe?utm_source=sheet&amp;utm_medium=download&amp;utm_campaign=tool-sip-step-up-calculator" TargetMode="External" Id="rId1"/><Relationship Type="http://schemas.openxmlformats.org/officeDocument/2006/relationships/hyperlink" Target="https://chillartheory.com/tools/sip-step-up-calculator/" TargetMode="External" Id="rId2"/><Relationship Type="http://schemas.openxmlformats.org/officeDocument/2006/relationships/drawing" Target="/xl/drawings/drawing1.xml" Id="rId3"/></Relationships>
</file>

<file path=xl/worksheets/sheet1.xml><?xml version="1.0" encoding="utf-8"?>
<worksheet xmlns="http://schemas.openxmlformats.org/spreadsheetml/2006/main">
  <sheetPr>
    <outlinePr summaryBelow="1" summaryRight="1"/>
    <pageSetUpPr fitToPage="1"/>
  </sheetPr>
  <dimension ref="A1:J39"/>
  <sheetViews>
    <sheetView showGridLines="0" workbookViewId="0">
      <selection activeCell="A1" sqref="A1"/>
    </sheetView>
  </sheetViews>
  <sheetFormatPr baseColWidth="8" defaultRowHeight="15"/>
  <cols>
    <col width="3" customWidth="1" min="1" max="1"/>
    <col width="110" customWidth="1" min="2" max="2"/>
  </cols>
  <sheetData>
    <row r="1">
      <c r="A1" s="1" t="n"/>
      <c r="B1" s="1" t="n"/>
      <c r="C1" s="1" t="n"/>
      <c r="D1" s="1" t="n"/>
      <c r="E1" s="1" t="n"/>
      <c r="F1" s="1" t="n"/>
      <c r="G1" s="1" t="n"/>
      <c r="H1" s="1" t="n"/>
      <c r="I1" s="1" t="n"/>
      <c r="J1" s="1" t="n"/>
    </row>
    <row r="2">
      <c r="A2" s="1" t="n"/>
      <c r="B2" s="1" t="n"/>
      <c r="C2" s="1" t="n"/>
      <c r="D2" s="1" t="n"/>
      <c r="E2" s="1" t="n"/>
      <c r="F2" s="1" t="n"/>
      <c r="G2" s="1" t="n"/>
      <c r="H2" s="1" t="n"/>
      <c r="I2" s="1" t="n"/>
      <c r="J2" s="1" t="n"/>
    </row>
    <row r="3">
      <c r="A3" s="1" t="n"/>
      <c r="B3" s="1" t="n"/>
      <c r="C3" s="1" t="n"/>
      <c r="D3" s="1" t="n"/>
      <c r="E3" s="1" t="n"/>
      <c r="F3" s="1" t="n"/>
      <c r="G3" s="1" t="n"/>
      <c r="H3" s="1" t="n"/>
      <c r="I3" s="1" t="n"/>
      <c r="J3" s="1" t="n"/>
    </row>
    <row r="4">
      <c r="A4" s="1" t="n"/>
      <c r="B4" s="1" t="n"/>
      <c r="C4" s="1" t="n"/>
      <c r="D4" s="1" t="n"/>
      <c r="E4" s="1" t="n"/>
      <c r="F4" s="1" t="n"/>
      <c r="G4" s="1" t="n"/>
      <c r="H4" s="1" t="n"/>
      <c r="I4" s="1" t="n"/>
      <c r="J4" s="1" t="n"/>
    </row>
    <row r="5">
      <c r="A5" s="1" t="n"/>
      <c r="B5" s="1" t="n"/>
      <c r="C5" s="1" t="n"/>
      <c r="D5" s="1" t="n"/>
      <c r="E5" s="1" t="n"/>
      <c r="F5" s="1" t="n"/>
      <c r="G5" s="1" t="n"/>
      <c r="H5" s="1" t="n"/>
      <c r="I5" s="1" t="n"/>
      <c r="J5" s="1" t="n"/>
    </row>
    <row r="6">
      <c r="A6" s="1" t="n"/>
      <c r="B6" s="1" t="n"/>
      <c r="C6" s="1" t="n"/>
      <c r="D6" s="1" t="n"/>
      <c r="E6" s="1" t="n"/>
      <c r="F6" s="1" t="n"/>
      <c r="G6" s="1" t="n"/>
      <c r="H6" s="1" t="n"/>
      <c r="I6" s="1" t="n"/>
      <c r="J6" s="1" t="n"/>
    </row>
    <row r="7">
      <c r="A7" s="1" t="n"/>
      <c r="B7" s="1" t="n"/>
      <c r="C7" s="1" t="n"/>
      <c r="D7" s="1" t="n"/>
      <c r="E7" s="1" t="n"/>
      <c r="F7" s="1" t="n"/>
      <c r="G7" s="1" t="n"/>
      <c r="H7" s="1" t="n"/>
      <c r="I7" s="1" t="n"/>
      <c r="J7" s="1" t="n"/>
    </row>
    <row r="8">
      <c r="A8" s="1" t="n"/>
      <c r="B8" s="1" t="n"/>
      <c r="C8" s="1" t="n"/>
      <c r="D8" s="1" t="n"/>
      <c r="E8" s="1" t="n"/>
      <c r="F8" s="1" t="n"/>
      <c r="G8" s="1" t="n"/>
      <c r="H8" s="1" t="n"/>
      <c r="I8" s="1" t="n"/>
      <c r="J8" s="1" t="n"/>
    </row>
    <row r="9">
      <c r="A9" s="2" t="n"/>
      <c r="B9" s="2" t="n"/>
      <c r="C9" s="2" t="n"/>
      <c r="D9" s="2" t="n"/>
      <c r="E9" s="2" t="n"/>
      <c r="F9" s="2" t="n"/>
      <c r="G9" s="2" t="n"/>
      <c r="H9" s="2" t="n"/>
      <c r="I9" s="2" t="n"/>
      <c r="J9" s="2" t="n"/>
    </row>
    <row r="10">
      <c r="A10" s="2" t="n"/>
      <c r="B10" s="3" t="inlineStr">
        <is>
          <t>SIP step-up calculator, in today's rupees</t>
        </is>
      </c>
      <c r="C10" s="2" t="n"/>
      <c r="D10" s="2" t="n"/>
      <c r="E10" s="2" t="n"/>
      <c r="F10" s="2" t="n"/>
      <c r="G10" s="2" t="n"/>
      <c r="H10" s="2" t="n"/>
      <c r="I10" s="2" t="n"/>
      <c r="J10" s="2" t="n"/>
    </row>
    <row r="11">
      <c r="A11" s="2" t="n"/>
      <c r="B11" s="4" t="inlineStr">
        <is>
          <t>What a SIP with a yearly step-up grows to, what it buys today, and the SIP a goal needs.</t>
        </is>
      </c>
      <c r="C11" s="2" t="n"/>
      <c r="D11" s="2" t="n"/>
      <c r="E11" s="2" t="n"/>
      <c r="F11" s="2" t="n"/>
      <c r="G11" s="2" t="n"/>
      <c r="H11" s="2" t="n"/>
      <c r="I11" s="2" t="n"/>
      <c r="J11" s="2" t="n"/>
    </row>
    <row r="12">
      <c r="A12" s="2" t="n"/>
      <c r="B12" s="5" t="inlineStr">
        <is>
          <t>v1.1 · 29 October 2026 · rules last verified 29 October 2026</t>
        </is>
      </c>
      <c r="C12" s="2" t="n"/>
      <c r="D12" s="2" t="n"/>
      <c r="E12" s="2" t="n"/>
      <c r="F12" s="2" t="n"/>
      <c r="G12" s="2" t="n"/>
      <c r="H12" s="2" t="n"/>
      <c r="I12" s="2" t="n"/>
      <c r="J12" s="2" t="n"/>
    </row>
    <row r="13">
      <c r="A13" s="2" t="n"/>
      <c r="B13" s="2" t="n"/>
      <c r="C13" s="2" t="n"/>
      <c r="D13" s="2" t="n"/>
      <c r="E13" s="2" t="n"/>
      <c r="F13" s="2" t="n"/>
      <c r="G13" s="2" t="n"/>
      <c r="H13" s="2" t="n"/>
      <c r="I13" s="2" t="n"/>
      <c r="J13" s="2" t="n"/>
    </row>
    <row r="14">
      <c r="A14" s="2" t="n"/>
      <c r="B14" s="6" t="inlineStr">
        <is>
          <t>Big-world economics, counted in loose change.</t>
        </is>
      </c>
      <c r="C14" s="2" t="n"/>
      <c r="D14" s="2" t="n"/>
      <c r="E14" s="2" t="n"/>
      <c r="F14" s="2" t="n"/>
      <c r="G14" s="2" t="n"/>
      <c r="H14" s="2" t="n"/>
      <c r="I14" s="2" t="n"/>
      <c r="J14" s="2" t="n"/>
    </row>
    <row r="15">
      <c r="A15" s="2" t="n"/>
      <c r="B15" s="2" t="n"/>
      <c r="C15" s="2" t="n"/>
      <c r="D15" s="2" t="n"/>
      <c r="E15" s="2" t="n"/>
      <c r="F15" s="2" t="n"/>
      <c r="G15" s="2" t="n"/>
      <c r="H15" s="2" t="n"/>
      <c r="I15" s="2" t="n"/>
      <c r="J15" s="2" t="n"/>
    </row>
    <row r="16">
      <c r="A16" s="2" t="n"/>
      <c r="B16" s="7" t="inlineStr">
        <is>
          <t>How to use it</t>
        </is>
      </c>
      <c r="C16" s="2" t="n"/>
      <c r="D16" s="2" t="n"/>
      <c r="E16" s="2" t="n"/>
      <c r="F16" s="2" t="n"/>
      <c r="G16" s="2" t="n"/>
      <c r="H16" s="2" t="n"/>
      <c r="I16" s="2" t="n"/>
      <c r="J16" s="2" t="n"/>
    </row>
    <row r="17">
      <c r="A17" s="2" t="n"/>
      <c r="B17" s="8" t="inlineStr">
        <is>
          <t>1. Open the Calculator tab and replace the example numbers in the yellow cells.</t>
        </is>
      </c>
      <c r="C17" s="2" t="n"/>
      <c r="D17" s="2" t="n"/>
      <c r="E17" s="2" t="n"/>
      <c r="F17" s="2" t="n"/>
      <c r="G17" s="2" t="n"/>
      <c r="H17" s="2" t="n"/>
      <c r="I17" s="2" t="n"/>
      <c r="J17" s="2" t="n"/>
    </row>
    <row r="18">
      <c r="A18" s="2" t="n"/>
      <c r="B18" s="8" t="inlineStr">
        <is>
          <t>2. Read your results in the blue cells.</t>
        </is>
      </c>
      <c r="C18" s="2" t="n"/>
      <c r="D18" s="2" t="n"/>
      <c r="E18" s="2" t="n"/>
      <c r="F18" s="2" t="n"/>
      <c r="G18" s="2" t="n"/>
      <c r="H18" s="2" t="n"/>
      <c r="I18" s="2" t="n"/>
      <c r="J18" s="2" t="n"/>
    </row>
    <row r="19">
      <c r="A19" s="2" t="n"/>
      <c r="B19" s="8" t="inlineStr">
        <is>
          <t>3. The Rules tab lists every figure with its official source. Test cases has our checked examples.</t>
        </is>
      </c>
      <c r="C19" s="2" t="n"/>
      <c r="D19" s="2" t="n"/>
      <c r="E19" s="2" t="n"/>
      <c r="F19" s="2" t="n"/>
      <c r="G19" s="2" t="n"/>
      <c r="H19" s="2" t="n"/>
      <c r="I19" s="2" t="n"/>
      <c r="J19" s="2" t="n"/>
    </row>
    <row r="20">
      <c r="A20" s="2" t="n"/>
      <c r="B20" s="2" t="n"/>
      <c r="C20" s="2" t="n"/>
      <c r="D20" s="2" t="n"/>
      <c r="E20" s="2" t="n"/>
      <c r="F20" s="2" t="n"/>
      <c r="G20" s="2" t="n"/>
      <c r="H20" s="2" t="n"/>
      <c r="I20" s="2" t="n"/>
      <c r="J20" s="2" t="n"/>
    </row>
    <row r="21">
      <c r="A21" s="2" t="n"/>
      <c r="B21" s="9" t="inlineStr">
        <is>
          <t>Like this? One method and one free tool, every Sunday.</t>
        </is>
      </c>
      <c r="C21" s="2" t="n"/>
      <c r="D21" s="2" t="n"/>
      <c r="E21" s="2" t="n"/>
      <c r="F21" s="2" t="n"/>
      <c r="G21" s="2" t="n"/>
      <c r="H21" s="2" t="n"/>
      <c r="I21" s="2" t="n"/>
      <c r="J21" s="2" t="n"/>
    </row>
    <row r="22">
      <c r="A22" s="2" t="n"/>
      <c r="B22" s="10" t="inlineStr">
        <is>
          <t>Subscribe free at chillartheory.com</t>
        </is>
      </c>
      <c r="C22" s="2" t="n"/>
      <c r="D22" s="2" t="n"/>
      <c r="E22" s="2" t="n"/>
      <c r="F22" s="2" t="n"/>
      <c r="G22" s="2" t="n"/>
      <c r="H22" s="2" t="n"/>
      <c r="I22" s="2" t="n"/>
      <c r="J22" s="2" t="n"/>
    </row>
    <row r="23">
      <c r="A23" s="2" t="n"/>
      <c r="B23" s="11" t="inlineStr">
        <is>
          <t>The live tool: https://chillartheory.com/tools/sip-step-up-calculator/</t>
        </is>
      </c>
      <c r="C23" s="2" t="n"/>
      <c r="D23" s="2" t="n"/>
      <c r="E23" s="2" t="n"/>
      <c r="F23" s="2" t="n"/>
      <c r="G23" s="2" t="n"/>
      <c r="H23" s="2" t="n"/>
      <c r="I23" s="2" t="n"/>
      <c r="J23" s="2" t="n"/>
    </row>
    <row r="24">
      <c r="A24" s="2" t="n"/>
      <c r="B24" s="2" t="n"/>
      <c r="C24" s="2" t="n"/>
      <c r="D24" s="2" t="n"/>
      <c r="E24" s="2" t="n"/>
      <c r="F24" s="2" t="n"/>
      <c r="G24" s="2" t="n"/>
      <c r="H24" s="2" t="n"/>
      <c r="I24" s="2" t="n"/>
      <c r="J24" s="2" t="n"/>
    </row>
    <row r="25">
      <c r="A25" s="2" t="n"/>
      <c r="B25" s="12" t="inlineStr">
        <is>
          <t>Made by Team Chillar Theory. Free under CC BY 4.0: reuse with credit and a link.</t>
        </is>
      </c>
      <c r="C25" s="2" t="n"/>
      <c r="D25" s="2" t="n"/>
      <c r="E25" s="2" t="n"/>
      <c r="F25" s="2" t="n"/>
      <c r="G25" s="2" t="n"/>
      <c r="H25" s="2" t="n"/>
      <c r="I25" s="2" t="n"/>
      <c r="J25" s="2" t="n"/>
    </row>
    <row r="26">
      <c r="A26" s="2" t="n"/>
      <c r="B26" s="13" t="inlineStr">
        <is>
          <t>This newsletter is for education only. It is not investment, tax or legal advice and does not recommend any security or product. Do your own research or consult a registered professional.</t>
        </is>
      </c>
      <c r="C26" s="2" t="n"/>
      <c r="D26" s="2" t="n"/>
      <c r="E26" s="2" t="n"/>
      <c r="F26" s="2" t="n"/>
      <c r="G26" s="2" t="n"/>
      <c r="H26" s="2" t="n"/>
      <c r="I26" s="2" t="n"/>
      <c r="J26" s="2" t="n"/>
    </row>
    <row r="27">
      <c r="A27" s="2" t="n"/>
      <c r="B27" s="2" t="n"/>
      <c r="C27" s="2" t="n"/>
      <c r="D27" s="2" t="n"/>
      <c r="E27" s="2" t="n"/>
      <c r="F27" s="2" t="n"/>
      <c r="G27" s="2" t="n"/>
      <c r="H27" s="2" t="n"/>
      <c r="I27" s="2" t="n"/>
      <c r="J27" s="2" t="n"/>
    </row>
    <row r="28">
      <c r="A28" s="2" t="n"/>
      <c r="B28" s="2" t="n"/>
      <c r="C28" s="2" t="n"/>
      <c r="D28" s="2" t="n"/>
      <c r="E28" s="2" t="n"/>
      <c r="F28" s="2" t="n"/>
      <c r="G28" s="2" t="n"/>
      <c r="H28" s="2" t="n"/>
      <c r="I28" s="2" t="n"/>
      <c r="J28" s="2" t="n"/>
    </row>
    <row r="29">
      <c r="A29" s="2" t="n"/>
      <c r="B29" s="2" t="n"/>
      <c r="C29" s="2" t="n"/>
      <c r="D29" s="2" t="n"/>
      <c r="E29" s="2" t="n"/>
      <c r="F29" s="2" t="n"/>
      <c r="G29" s="2" t="n"/>
      <c r="H29" s="2" t="n"/>
      <c r="I29" s="2" t="n"/>
      <c r="J29" s="2" t="n"/>
    </row>
    <row r="30">
      <c r="A30" s="2" t="n"/>
      <c r="B30" s="2" t="n"/>
      <c r="C30" s="2" t="n"/>
      <c r="D30" s="2" t="n"/>
      <c r="E30" s="2" t="n"/>
      <c r="F30" s="2" t="n"/>
      <c r="G30" s="2" t="n"/>
      <c r="H30" s="2" t="n"/>
      <c r="I30" s="2" t="n"/>
      <c r="J30" s="2" t="n"/>
    </row>
    <row r="31">
      <c r="A31" s="2" t="n"/>
      <c r="B31" s="2" t="n"/>
      <c r="C31" s="2" t="n"/>
      <c r="D31" s="2" t="n"/>
      <c r="E31" s="2" t="n"/>
      <c r="F31" s="2" t="n"/>
      <c r="G31" s="2" t="n"/>
      <c r="H31" s="2" t="n"/>
      <c r="I31" s="2" t="n"/>
      <c r="J31" s="2" t="n"/>
    </row>
    <row r="32">
      <c r="A32" s="2" t="n"/>
      <c r="B32" s="2" t="n"/>
      <c r="C32" s="2" t="n"/>
      <c r="D32" s="2" t="n"/>
      <c r="E32" s="2" t="n"/>
      <c r="F32" s="2" t="n"/>
      <c r="G32" s="2" t="n"/>
      <c r="H32" s="2" t="n"/>
      <c r="I32" s="2" t="n"/>
      <c r="J32" s="2" t="n"/>
    </row>
    <row r="33">
      <c r="A33" s="2" t="n"/>
      <c r="B33" s="2" t="n"/>
      <c r="C33" s="2" t="n"/>
      <c r="D33" s="2" t="n"/>
      <c r="E33" s="2" t="n"/>
      <c r="F33" s="2" t="n"/>
      <c r="G33" s="2" t="n"/>
      <c r="H33" s="2" t="n"/>
      <c r="I33" s="2" t="n"/>
      <c r="J33" s="2" t="n"/>
    </row>
    <row r="34">
      <c r="A34" s="2" t="n"/>
      <c r="B34" s="2" t="n"/>
      <c r="C34" s="2" t="n"/>
      <c r="D34" s="2" t="n"/>
      <c r="E34" s="2" t="n"/>
      <c r="F34" s="2" t="n"/>
      <c r="G34" s="2" t="n"/>
      <c r="H34" s="2" t="n"/>
      <c r="I34" s="2" t="n"/>
      <c r="J34" s="2" t="n"/>
    </row>
    <row r="35">
      <c r="A35" s="2" t="n"/>
      <c r="B35" s="2" t="n"/>
      <c r="C35" s="2" t="n"/>
      <c r="D35" s="2" t="n"/>
      <c r="E35" s="2" t="n"/>
      <c r="F35" s="2" t="n"/>
      <c r="G35" s="2" t="n"/>
      <c r="H35" s="2" t="n"/>
      <c r="I35" s="2" t="n"/>
      <c r="J35" s="2" t="n"/>
    </row>
    <row r="36">
      <c r="A36" s="2" t="n"/>
      <c r="B36" s="2" t="n"/>
      <c r="C36" s="2" t="n"/>
      <c r="D36" s="2" t="n"/>
      <c r="E36" s="2" t="n"/>
      <c r="F36" s="2" t="n"/>
      <c r="G36" s="2" t="n"/>
      <c r="H36" s="2" t="n"/>
      <c r="I36" s="2" t="n"/>
      <c r="J36" s="2" t="n"/>
    </row>
    <row r="37">
      <c r="A37" s="2" t="n"/>
      <c r="B37" s="2" t="n"/>
      <c r="C37" s="2" t="n"/>
      <c r="D37" s="2" t="n"/>
      <c r="E37" s="2" t="n"/>
      <c r="F37" s="2" t="n"/>
      <c r="G37" s="2" t="n"/>
      <c r="H37" s="2" t="n"/>
      <c r="I37" s="2" t="n"/>
      <c r="J37" s="2" t="n"/>
    </row>
    <row r="38">
      <c r="A38" s="2" t="n"/>
      <c r="B38" s="2" t="n"/>
      <c r="C38" s="2" t="n"/>
      <c r="D38" s="2" t="n"/>
      <c r="E38" s="2" t="n"/>
      <c r="F38" s="2" t="n"/>
      <c r="G38" s="2" t="n"/>
      <c r="H38" s="2" t="n"/>
      <c r="I38" s="2" t="n"/>
      <c r="J38" s="2" t="n"/>
    </row>
    <row r="39">
      <c r="A39" s="2" t="n"/>
      <c r="B39" s="2" t="n"/>
      <c r="C39" s="2" t="n"/>
      <c r="D39" s="2" t="n"/>
      <c r="E39" s="2" t="n"/>
      <c r="F39" s="2" t="n"/>
      <c r="G39" s="2" t="n"/>
      <c r="H39" s="2" t="n"/>
      <c r="I39" s="2" t="n"/>
      <c r="J39" s="2" t="n"/>
    </row>
  </sheetData>
  <hyperlinks>
    <hyperlink xmlns:r="http://schemas.openxmlformats.org/officeDocument/2006/relationships" ref="B22" r:id="rId1"/>
    <hyperlink xmlns:r="http://schemas.openxmlformats.org/officeDocument/2006/relationships" ref="B23" r:id="rId2"/>
  </hyperlinks>
  <pageMargins left="0.75" right="0.75" top="1" bottom="1" header="0.5" footer="0.5"/>
  <pageSetup orientation="landscape" fitToHeight="0" fitToWidth="1"/>
  <drawing xmlns:r="http://schemas.openxmlformats.org/officeDocument/2006/relationships" r:id="rId3"/>
</worksheet>
</file>

<file path=xl/worksheets/sheet2.xml><?xml version="1.0" encoding="utf-8"?>
<worksheet xmlns="http://schemas.openxmlformats.org/spreadsheetml/2006/main">
  <sheetPr>
    <outlinePr summaryBelow="1" summaryRight="1"/>
    <pageSetUpPr fitToPage="1"/>
  </sheetPr>
  <dimension ref="A1:A12"/>
  <sheetViews>
    <sheetView showGridLines="0" workbookViewId="0">
      <selection activeCell="A1" sqref="A1"/>
    </sheetView>
  </sheetViews>
  <sheetFormatPr baseColWidth="8" defaultRowHeight="15"/>
  <cols>
    <col width="120" customWidth="1" min="1" max="1"/>
  </cols>
  <sheetData>
    <row r="1">
      <c r="A1" s="14" t="inlineStr">
        <is>
          <t>How to use this sheet</t>
        </is>
      </c>
    </row>
    <row r="2">
      <c r="A2" s="15" t="inlineStr"/>
    </row>
    <row r="3">
      <c r="A3" s="15" t="inlineStr">
        <is>
          <t>Yellow cells on the Calculator tab are yours to change. Everything else is a formula: if you overwrite one, download a fresh copy.</t>
        </is>
      </c>
    </row>
    <row r="4">
      <c r="A4" s="15" t="inlineStr">
        <is>
          <t>Percentages: type 10% as 10% (the cell is formatted as a percentage).</t>
        </is>
      </c>
    </row>
    <row r="5">
      <c r="A5" s="15" t="inlineStr">
        <is>
          <t>Top half: your SIP. You invest at the start of every month and raise the SIP once a year by the step-up.</t>
        </is>
      </c>
    </row>
    <row r="6">
      <c r="A6" s="15" t="inlineStr">
        <is>
          <t>Bottom half: the goal planner. Put the goal in today's rupees and anything already saved for it; the sheet grows the goal by inflation and the savings by your return, and works out the starting SIP for what is left.</t>
        </is>
      </c>
    </row>
    <row r="7">
      <c r="A7" s="15" t="inlineStr">
        <is>
          <t>The Year by year tab shows the SIP, the value and the value in today's rupees for each year.</t>
        </is>
      </c>
    </row>
    <row r="8">
      <c r="A8" s="15" t="inlineStr"/>
    </row>
    <row r="9">
      <c r="A9" s="14" t="inlineStr">
        <is>
          <t>What it doesn't do</t>
        </is>
      </c>
    </row>
    <row r="10">
      <c r="A10" s="15" t="inlineStr">
        <is>
          <t>Tax, exit loads, or the ups and downs of real returns. It uses one steady return.</t>
        </is>
      </c>
    </row>
    <row r="11">
      <c r="A11" s="15" t="inlineStr"/>
    </row>
    <row r="12">
      <c r="A12" s="15" t="inlineStr">
        <is>
          <t>Returns here are your assumptions, not forecasts. This newsletter is for education only. It is not investment, tax or legal advice and does not recommend any security or product. Do your own research or consult a registered professional.</t>
        </is>
      </c>
    </row>
  </sheetData>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C37"/>
  <sheetViews>
    <sheetView workbookViewId="0">
      <pane ySplit="4" topLeftCell="A5" activePane="bottomLeft" state="frozen"/>
      <selection pane="bottomLeft" activeCell="A1" sqref="A1"/>
    </sheetView>
  </sheetViews>
  <sheetFormatPr baseColWidth="8" defaultRowHeight="15"/>
  <cols>
    <col width="72" customWidth="1" min="1" max="1"/>
    <col width="22" customWidth="1" min="2" max="2"/>
    <col width="70" customWidth="1" min="3" max="3"/>
  </cols>
  <sheetData>
    <row r="1">
      <c r="A1" s="16" t="inlineStr">
        <is>
          <t>SIP step-up calculator, in today's rupees</t>
        </is>
      </c>
    </row>
    <row r="2">
      <c r="A2" s="17" t="inlineStr">
        <is>
          <t>Type your numbers in the yellow cells (column B). Everything else is a formula. Example values are filled in: replace them.</t>
        </is>
      </c>
    </row>
    <row r="4">
      <c r="A4" s="18" t="inlineStr">
        <is>
          <t>YOUR NUMBERS</t>
        </is>
      </c>
    </row>
    <row r="5">
      <c r="A5" s="19" t="inlineStr">
        <is>
          <t>Monthly SIP to start with (₹)</t>
        </is>
      </c>
      <c r="B5" s="20" t="n">
        <v>10000</v>
      </c>
      <c r="C5" s="21" t="inlineStr"/>
    </row>
    <row r="6">
      <c r="A6" s="19" t="inlineStr">
        <is>
          <t>Step-up every year</t>
        </is>
      </c>
      <c r="B6" s="22" t="n">
        <v>0.1</v>
      </c>
      <c r="C6" s="21" t="inlineStr">
        <is>
          <t>Type 10% as 10%. 0% for a flat SIP.</t>
        </is>
      </c>
    </row>
    <row r="7">
      <c r="A7" s="19" t="inlineStr">
        <is>
          <t>Years (1 to 40)</t>
        </is>
      </c>
      <c r="B7" s="23" t="n">
        <v>20</v>
      </c>
      <c r="C7" s="21" t="inlineStr">
        <is>
          <t>Whole years.</t>
        </is>
      </c>
    </row>
    <row r="8">
      <c r="A8" s="19" t="inlineStr">
        <is>
          <t>Return you assume, a year</t>
        </is>
      </c>
      <c r="B8" s="22" t="n">
        <v>0.12</v>
      </c>
      <c r="C8" s="21" t="inlineStr">
        <is>
          <t>After the fund's costs. Try a lower one too.</t>
        </is>
      </c>
    </row>
    <row r="9">
      <c r="A9" s="19" t="inlineStr">
        <is>
          <t>Inflation you assume, a year</t>
        </is>
      </c>
      <c r="B9" s="22" t="n">
        <v>0.05</v>
      </c>
      <c r="C9" s="21" t="inlineStr">
        <is>
          <t>RBI's target is 4%; 6% is the upper limit.</t>
        </is>
      </c>
    </row>
    <row r="10">
      <c r="A10" s="19" t="inlineStr">
        <is>
          <t>Goal planner: the goal in today's rupees (₹)</t>
        </is>
      </c>
      <c r="B10" s="20" t="n">
        <v>5000000</v>
      </c>
      <c r="C10" s="21" t="inlineStr">
        <is>
          <t>What it would cost if you paid today.</t>
        </is>
      </c>
    </row>
    <row r="11">
      <c r="A11" s="19" t="inlineStr">
        <is>
          <t>Goal planner: already saved for this goal (₹)</t>
        </is>
      </c>
      <c r="B11" s="20" t="n">
        <v>0</v>
      </c>
      <c r="C11" s="21" t="inlineStr">
        <is>
          <t>Grows at the return you assume and is taken off the goal. 0 if none.</t>
        </is>
      </c>
    </row>
    <row r="12">
      <c r="A12" s="19" t="inlineStr">
        <is>
          <t>Goal planner: years until you need it</t>
        </is>
      </c>
      <c r="B12" s="23" t="n">
        <v>15</v>
      </c>
      <c r="C12" s="21" t="inlineStr"/>
    </row>
    <row r="13">
      <c r="A13" s="19" t="inlineStr">
        <is>
          <t>Goal planner: step-up every year</t>
        </is>
      </c>
      <c r="B13" s="22" t="n">
        <v>0.1</v>
      </c>
      <c r="C13" s="21" t="inlineStr"/>
    </row>
    <row r="14">
      <c r="A14" s="19" t="inlineStr">
        <is>
          <t>Goal planner: return you assume</t>
        </is>
      </c>
      <c r="B14" s="22" t="n">
        <v>0.11</v>
      </c>
      <c r="C14" s="21" t="inlineStr"/>
    </row>
    <row r="15">
      <c r="A15" s="19" t="inlineStr">
        <is>
          <t>Goal planner: inflation you assume</t>
        </is>
      </c>
      <c r="B15" s="22" t="n">
        <v>0.06</v>
      </c>
      <c r="C15" s="21" t="inlineStr"/>
    </row>
    <row r="17">
      <c r="A17" s="18" t="inlineStr">
        <is>
          <t>THE WORKING (formulas, don't type here)</t>
        </is>
      </c>
    </row>
    <row r="18">
      <c r="A18" s="24" t="inlineStr">
        <is>
          <t>Monthly rate</t>
        </is>
      </c>
      <c r="B18" s="25">
        <f>(1+$B$8)^(1/12)-1</f>
        <v/>
      </c>
    </row>
    <row r="19">
      <c r="A19" s="24" t="inlineStr">
        <is>
          <t>One year of start-of-month SIPs of ₹1, valued at year end</t>
        </is>
      </c>
      <c r="B19" s="25">
        <f>IF($B$18=0,12,((1+$B$18)^12-1)/$B$18*(1+$B$18))</f>
        <v/>
      </c>
    </row>
    <row r="20">
      <c r="A20" s="24" t="inlineStr">
        <is>
          <t>Growth over 12 months</t>
        </is>
      </c>
      <c r="B20" s="25">
        <f>(1+$B$18)^12</f>
        <v/>
      </c>
    </row>
    <row r="21">
      <c r="A21" s="26" t="inlineStr">
        <is>
          <t>WHAT THE STATEMENT SAYS AFTER THE LAST YEAR (₹)</t>
        </is>
      </c>
      <c r="B21" s="27">
        <f>IF(ABS($B$6-($B$20-1))&lt;1E-9,$B$5*$B$19*$B$7*$B$20^($B$7-1),$B$5*$B$19*($B$20^$B$7-(1+$B$6)^$B$7)/($B$20-(1+$B$6)))</f>
        <v/>
      </c>
    </row>
    <row r="22">
      <c r="A22" s="24" t="inlineStr">
        <is>
          <t>What you put in (₹)</t>
        </is>
      </c>
      <c r="B22" s="28">
        <f>IF($B$6=0,$B$5*12*$B$7,$B$5*12*((1+$B$6)^$B$7-1)/$B$6)</f>
        <v/>
      </c>
    </row>
    <row r="23">
      <c r="A23" s="26" t="inlineStr">
        <is>
          <t>IN TODAY'S RUPEES (₹)</t>
        </is>
      </c>
      <c r="B23" s="27">
        <f>$B$21/(1+$B$9)^$B$7</f>
        <v/>
      </c>
    </row>
    <row r="24">
      <c r="A24" s="24" t="inlineStr">
        <is>
          <t>Same plan with no step-up, in today's rupees (₹)</t>
        </is>
      </c>
      <c r="B24" s="28">
        <f>IF($B$20=1,$B$5*12*$B$7,$B$5*$B$19*($B$20^$B$7-1)/($B$20-1))/(1+$B$9)^$B$7</f>
        <v/>
      </c>
    </row>
    <row r="25">
      <c r="A25" s="26" t="inlineStr">
        <is>
          <t>WHAT THE STEP-UP BUYS, in today's rupees (₹)</t>
        </is>
      </c>
      <c r="B25" s="27">
        <f>$B$23-$B$24</f>
        <v/>
      </c>
    </row>
    <row r="26">
      <c r="A26" s="24" t="inlineStr">
        <is>
          <t>Your last monthly SIP (₹)</t>
        </is>
      </c>
      <c r="B26" s="28">
        <f>$B$5*(1+$B$6)^($B$7-1)</f>
        <v/>
      </c>
    </row>
    <row r="27">
      <c r="A27" s="24" t="inlineStr">
        <is>
          <t>Your last monthly SIP in today's rupees (₹)</t>
        </is>
      </c>
      <c r="B27" s="28">
        <f>$B$26/(1+$B$9)^($B$7-1)</f>
        <v/>
      </c>
    </row>
    <row r="28">
      <c r="A28" s="24" t="inlineStr">
        <is>
          <t>Goal planner: monthly rate</t>
        </is>
      </c>
      <c r="B28" s="25">
        <f>(1+$B$14)^(1/12)-1</f>
        <v/>
      </c>
    </row>
    <row r="29">
      <c r="A29" s="24" t="inlineStr">
        <is>
          <t>Goal planner: one year of ₹1 SIPs at year end</t>
        </is>
      </c>
      <c r="B29" s="25">
        <f>IF($B$28=0,12,((1+$B$28)^12-1)/$B$28*(1+$B$28))</f>
        <v/>
      </c>
    </row>
    <row r="30">
      <c r="A30" s="24" t="inlineStr">
        <is>
          <t>Goal planner: growth over 12 months</t>
        </is>
      </c>
      <c r="B30" s="25">
        <f>(1+$B$28)^12</f>
        <v/>
      </c>
    </row>
    <row r="31">
      <c r="A31" s="24" t="inlineStr">
        <is>
          <t>Goal planner: the goal in the year you need it (₹)</t>
        </is>
      </c>
      <c r="B31" s="28">
        <f>$B$10*(1+$B$15)^$B$12</f>
        <v/>
      </c>
    </row>
    <row r="32">
      <c r="A32" s="24" t="inlineStr">
        <is>
          <t>Goal planner: what ₹1 a month (stepped up) grows to</t>
        </is>
      </c>
      <c r="B32" s="29">
        <f>IF(ABS($B$13-($B$30-1))&lt;1E-9,$B$29*$B$12*$B$30^($B$12-1),$B$29*($B$30^$B$12-(1+$B$13)^$B$12)/($B$30-(1+$B$13)))</f>
        <v/>
      </c>
    </row>
    <row r="33">
      <c r="A33" s="24" t="inlineStr">
        <is>
          <t>Goal planner: your savings by then (₹)</t>
        </is>
      </c>
      <c r="B33" s="28">
        <f>$B$11*(1+$B$14)^$B$12</f>
        <v/>
      </c>
    </row>
    <row r="34">
      <c r="A34" s="24" t="inlineStr">
        <is>
          <t>Goal planner: still to build with the SIP (₹)</t>
        </is>
      </c>
      <c r="B34" s="28">
        <f>MAX(0,$B$31-$B$33)</f>
        <v/>
      </c>
    </row>
    <row r="35">
      <c r="A35" s="26" t="inlineStr">
        <is>
          <t>GOAL PLANNER: MONTHLY SIP TO START WITH (₹)</t>
        </is>
      </c>
      <c r="B35" s="27">
        <f>$B$34/$B$32</f>
        <v/>
      </c>
    </row>
    <row r="37">
      <c r="A37" s="30" t="inlineStr">
        <is>
          <t>Our calculation. This newsletter is for education only. It is not investment, tax or legal advice and does not recommend any security or product. Do your own research or consult a registered professional.</t>
        </is>
      </c>
    </row>
  </sheetData>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D43"/>
  <sheetViews>
    <sheetView workbookViewId="0">
      <selection activeCell="A1" sqref="A1"/>
    </sheetView>
  </sheetViews>
  <sheetFormatPr baseColWidth="8" defaultRowHeight="15"/>
  <cols>
    <col width="8" customWidth="1" min="1" max="1"/>
    <col width="18" customWidth="1" min="2" max="2"/>
    <col width="22" customWidth="1" min="3" max="3"/>
    <col width="22" customWidth="1" min="4" max="4"/>
  </cols>
  <sheetData>
    <row r="1">
      <c r="A1" s="31" t="inlineStr">
        <is>
          <t>Year by year: SIP, value and value in today's rupees (formulas read the Calculator tab)</t>
        </is>
      </c>
    </row>
    <row r="3">
      <c r="A3" s="32" t="inlineStr">
        <is>
          <t>Year</t>
        </is>
      </c>
      <c r="B3" s="32" t="inlineStr">
        <is>
          <t>Monthly SIP (₹)</t>
        </is>
      </c>
      <c r="C3" s="32" t="inlineStr">
        <is>
          <t>Value at year end (₹)</t>
        </is>
      </c>
      <c r="D3" s="32" t="inlineStr">
        <is>
          <t>In today's rupees (₹)</t>
        </is>
      </c>
    </row>
    <row r="4">
      <c r="A4" s="24">
        <f>IF(1&lt;=Calculator!$B$7,1,"")</f>
        <v/>
      </c>
      <c r="B4" s="28">
        <f>IF(1&lt;=Calculator!$B$7,Calculator!$B$5*(1+Calculator!$B$6)^(1-1),"")</f>
        <v/>
      </c>
      <c r="C4" s="28">
        <f>IF(1&lt;=Calculator!$B$7,0*(1+Calculator!$B$18)^12+B4*Calculator!$B$19,"")</f>
        <v/>
      </c>
      <c r="D4" s="28">
        <f>IF(1&lt;=Calculator!$B$7,C4/(1+Calculator!$B$9)^1,"")</f>
        <v/>
      </c>
    </row>
    <row r="5">
      <c r="A5" s="24">
        <f>IF(2&lt;=Calculator!$B$7,2,"")</f>
        <v/>
      </c>
      <c r="B5" s="28">
        <f>IF(2&lt;=Calculator!$B$7,Calculator!$B$5*(1+Calculator!$B$6)^(2-1),"")</f>
        <v/>
      </c>
      <c r="C5" s="28">
        <f>IF(2&lt;=Calculator!$B$7,C4*(1+Calculator!$B$18)^12+B5*Calculator!$B$19,"")</f>
        <v/>
      </c>
      <c r="D5" s="28">
        <f>IF(2&lt;=Calculator!$B$7,C5/(1+Calculator!$B$9)^2,"")</f>
        <v/>
      </c>
    </row>
    <row r="6">
      <c r="A6" s="24">
        <f>IF(3&lt;=Calculator!$B$7,3,"")</f>
        <v/>
      </c>
      <c r="B6" s="28">
        <f>IF(3&lt;=Calculator!$B$7,Calculator!$B$5*(1+Calculator!$B$6)^(3-1),"")</f>
        <v/>
      </c>
      <c r="C6" s="28">
        <f>IF(3&lt;=Calculator!$B$7,C5*(1+Calculator!$B$18)^12+B6*Calculator!$B$19,"")</f>
        <v/>
      </c>
      <c r="D6" s="28">
        <f>IF(3&lt;=Calculator!$B$7,C6/(1+Calculator!$B$9)^3,"")</f>
        <v/>
      </c>
    </row>
    <row r="7">
      <c r="A7" s="24">
        <f>IF(4&lt;=Calculator!$B$7,4,"")</f>
        <v/>
      </c>
      <c r="B7" s="28">
        <f>IF(4&lt;=Calculator!$B$7,Calculator!$B$5*(1+Calculator!$B$6)^(4-1),"")</f>
        <v/>
      </c>
      <c r="C7" s="28">
        <f>IF(4&lt;=Calculator!$B$7,C6*(1+Calculator!$B$18)^12+B7*Calculator!$B$19,"")</f>
        <v/>
      </c>
      <c r="D7" s="28">
        <f>IF(4&lt;=Calculator!$B$7,C7/(1+Calculator!$B$9)^4,"")</f>
        <v/>
      </c>
    </row>
    <row r="8">
      <c r="A8" s="24">
        <f>IF(5&lt;=Calculator!$B$7,5,"")</f>
        <v/>
      </c>
      <c r="B8" s="28">
        <f>IF(5&lt;=Calculator!$B$7,Calculator!$B$5*(1+Calculator!$B$6)^(5-1),"")</f>
        <v/>
      </c>
      <c r="C8" s="28">
        <f>IF(5&lt;=Calculator!$B$7,C7*(1+Calculator!$B$18)^12+B8*Calculator!$B$19,"")</f>
        <v/>
      </c>
      <c r="D8" s="28">
        <f>IF(5&lt;=Calculator!$B$7,C8/(1+Calculator!$B$9)^5,"")</f>
        <v/>
      </c>
    </row>
    <row r="9">
      <c r="A9" s="24">
        <f>IF(6&lt;=Calculator!$B$7,6,"")</f>
        <v/>
      </c>
      <c r="B9" s="28">
        <f>IF(6&lt;=Calculator!$B$7,Calculator!$B$5*(1+Calculator!$B$6)^(6-1),"")</f>
        <v/>
      </c>
      <c r="C9" s="28">
        <f>IF(6&lt;=Calculator!$B$7,C8*(1+Calculator!$B$18)^12+B9*Calculator!$B$19,"")</f>
        <v/>
      </c>
      <c r="D9" s="28">
        <f>IF(6&lt;=Calculator!$B$7,C9/(1+Calculator!$B$9)^6,"")</f>
        <v/>
      </c>
    </row>
    <row r="10">
      <c r="A10" s="24">
        <f>IF(7&lt;=Calculator!$B$7,7,"")</f>
        <v/>
      </c>
      <c r="B10" s="28">
        <f>IF(7&lt;=Calculator!$B$7,Calculator!$B$5*(1+Calculator!$B$6)^(7-1),"")</f>
        <v/>
      </c>
      <c r="C10" s="28">
        <f>IF(7&lt;=Calculator!$B$7,C9*(1+Calculator!$B$18)^12+B10*Calculator!$B$19,"")</f>
        <v/>
      </c>
      <c r="D10" s="28">
        <f>IF(7&lt;=Calculator!$B$7,C10/(1+Calculator!$B$9)^7,"")</f>
        <v/>
      </c>
    </row>
    <row r="11">
      <c r="A11" s="24">
        <f>IF(8&lt;=Calculator!$B$7,8,"")</f>
        <v/>
      </c>
      <c r="B11" s="28">
        <f>IF(8&lt;=Calculator!$B$7,Calculator!$B$5*(1+Calculator!$B$6)^(8-1),"")</f>
        <v/>
      </c>
      <c r="C11" s="28">
        <f>IF(8&lt;=Calculator!$B$7,C10*(1+Calculator!$B$18)^12+B11*Calculator!$B$19,"")</f>
        <v/>
      </c>
      <c r="D11" s="28">
        <f>IF(8&lt;=Calculator!$B$7,C11/(1+Calculator!$B$9)^8,"")</f>
        <v/>
      </c>
    </row>
    <row r="12">
      <c r="A12" s="24">
        <f>IF(9&lt;=Calculator!$B$7,9,"")</f>
        <v/>
      </c>
      <c r="B12" s="28">
        <f>IF(9&lt;=Calculator!$B$7,Calculator!$B$5*(1+Calculator!$B$6)^(9-1),"")</f>
        <v/>
      </c>
      <c r="C12" s="28">
        <f>IF(9&lt;=Calculator!$B$7,C11*(1+Calculator!$B$18)^12+B12*Calculator!$B$19,"")</f>
        <v/>
      </c>
      <c r="D12" s="28">
        <f>IF(9&lt;=Calculator!$B$7,C12/(1+Calculator!$B$9)^9,"")</f>
        <v/>
      </c>
    </row>
    <row r="13">
      <c r="A13" s="24">
        <f>IF(10&lt;=Calculator!$B$7,10,"")</f>
        <v/>
      </c>
      <c r="B13" s="28">
        <f>IF(10&lt;=Calculator!$B$7,Calculator!$B$5*(1+Calculator!$B$6)^(10-1),"")</f>
        <v/>
      </c>
      <c r="C13" s="28">
        <f>IF(10&lt;=Calculator!$B$7,C12*(1+Calculator!$B$18)^12+B13*Calculator!$B$19,"")</f>
        <v/>
      </c>
      <c r="D13" s="28">
        <f>IF(10&lt;=Calculator!$B$7,C13/(1+Calculator!$B$9)^10,"")</f>
        <v/>
      </c>
    </row>
    <row r="14">
      <c r="A14" s="24">
        <f>IF(11&lt;=Calculator!$B$7,11,"")</f>
        <v/>
      </c>
      <c r="B14" s="28">
        <f>IF(11&lt;=Calculator!$B$7,Calculator!$B$5*(1+Calculator!$B$6)^(11-1),"")</f>
        <v/>
      </c>
      <c r="C14" s="28">
        <f>IF(11&lt;=Calculator!$B$7,C13*(1+Calculator!$B$18)^12+B14*Calculator!$B$19,"")</f>
        <v/>
      </c>
      <c r="D14" s="28">
        <f>IF(11&lt;=Calculator!$B$7,C14/(1+Calculator!$B$9)^11,"")</f>
        <v/>
      </c>
    </row>
    <row r="15">
      <c r="A15" s="24">
        <f>IF(12&lt;=Calculator!$B$7,12,"")</f>
        <v/>
      </c>
      <c r="B15" s="28">
        <f>IF(12&lt;=Calculator!$B$7,Calculator!$B$5*(1+Calculator!$B$6)^(12-1),"")</f>
        <v/>
      </c>
      <c r="C15" s="28">
        <f>IF(12&lt;=Calculator!$B$7,C14*(1+Calculator!$B$18)^12+B15*Calculator!$B$19,"")</f>
        <v/>
      </c>
      <c r="D15" s="28">
        <f>IF(12&lt;=Calculator!$B$7,C15/(1+Calculator!$B$9)^12,"")</f>
        <v/>
      </c>
    </row>
    <row r="16">
      <c r="A16" s="24">
        <f>IF(13&lt;=Calculator!$B$7,13,"")</f>
        <v/>
      </c>
      <c r="B16" s="28">
        <f>IF(13&lt;=Calculator!$B$7,Calculator!$B$5*(1+Calculator!$B$6)^(13-1),"")</f>
        <v/>
      </c>
      <c r="C16" s="28">
        <f>IF(13&lt;=Calculator!$B$7,C15*(1+Calculator!$B$18)^12+B16*Calculator!$B$19,"")</f>
        <v/>
      </c>
      <c r="D16" s="28">
        <f>IF(13&lt;=Calculator!$B$7,C16/(1+Calculator!$B$9)^13,"")</f>
        <v/>
      </c>
    </row>
    <row r="17">
      <c r="A17" s="24">
        <f>IF(14&lt;=Calculator!$B$7,14,"")</f>
        <v/>
      </c>
      <c r="B17" s="28">
        <f>IF(14&lt;=Calculator!$B$7,Calculator!$B$5*(1+Calculator!$B$6)^(14-1),"")</f>
        <v/>
      </c>
      <c r="C17" s="28">
        <f>IF(14&lt;=Calculator!$B$7,C16*(1+Calculator!$B$18)^12+B17*Calculator!$B$19,"")</f>
        <v/>
      </c>
      <c r="D17" s="28">
        <f>IF(14&lt;=Calculator!$B$7,C17/(1+Calculator!$B$9)^14,"")</f>
        <v/>
      </c>
    </row>
    <row r="18">
      <c r="A18" s="24">
        <f>IF(15&lt;=Calculator!$B$7,15,"")</f>
        <v/>
      </c>
      <c r="B18" s="28">
        <f>IF(15&lt;=Calculator!$B$7,Calculator!$B$5*(1+Calculator!$B$6)^(15-1),"")</f>
        <v/>
      </c>
      <c r="C18" s="28">
        <f>IF(15&lt;=Calculator!$B$7,C17*(1+Calculator!$B$18)^12+B18*Calculator!$B$19,"")</f>
        <v/>
      </c>
      <c r="D18" s="28">
        <f>IF(15&lt;=Calculator!$B$7,C18/(1+Calculator!$B$9)^15,"")</f>
        <v/>
      </c>
    </row>
    <row r="19">
      <c r="A19" s="24">
        <f>IF(16&lt;=Calculator!$B$7,16,"")</f>
        <v/>
      </c>
      <c r="B19" s="28">
        <f>IF(16&lt;=Calculator!$B$7,Calculator!$B$5*(1+Calculator!$B$6)^(16-1),"")</f>
        <v/>
      </c>
      <c r="C19" s="28">
        <f>IF(16&lt;=Calculator!$B$7,C18*(1+Calculator!$B$18)^12+B19*Calculator!$B$19,"")</f>
        <v/>
      </c>
      <c r="D19" s="28">
        <f>IF(16&lt;=Calculator!$B$7,C19/(1+Calculator!$B$9)^16,"")</f>
        <v/>
      </c>
    </row>
    <row r="20">
      <c r="A20" s="24">
        <f>IF(17&lt;=Calculator!$B$7,17,"")</f>
        <v/>
      </c>
      <c r="B20" s="28">
        <f>IF(17&lt;=Calculator!$B$7,Calculator!$B$5*(1+Calculator!$B$6)^(17-1),"")</f>
        <v/>
      </c>
      <c r="C20" s="28">
        <f>IF(17&lt;=Calculator!$B$7,C19*(1+Calculator!$B$18)^12+B20*Calculator!$B$19,"")</f>
        <v/>
      </c>
      <c r="D20" s="28">
        <f>IF(17&lt;=Calculator!$B$7,C20/(1+Calculator!$B$9)^17,"")</f>
        <v/>
      </c>
    </row>
    <row r="21">
      <c r="A21" s="24">
        <f>IF(18&lt;=Calculator!$B$7,18,"")</f>
        <v/>
      </c>
      <c r="B21" s="28">
        <f>IF(18&lt;=Calculator!$B$7,Calculator!$B$5*(1+Calculator!$B$6)^(18-1),"")</f>
        <v/>
      </c>
      <c r="C21" s="28">
        <f>IF(18&lt;=Calculator!$B$7,C20*(1+Calculator!$B$18)^12+B21*Calculator!$B$19,"")</f>
        <v/>
      </c>
      <c r="D21" s="28">
        <f>IF(18&lt;=Calculator!$B$7,C21/(1+Calculator!$B$9)^18,"")</f>
        <v/>
      </c>
    </row>
    <row r="22">
      <c r="A22" s="24">
        <f>IF(19&lt;=Calculator!$B$7,19,"")</f>
        <v/>
      </c>
      <c r="B22" s="28">
        <f>IF(19&lt;=Calculator!$B$7,Calculator!$B$5*(1+Calculator!$B$6)^(19-1),"")</f>
        <v/>
      </c>
      <c r="C22" s="28">
        <f>IF(19&lt;=Calculator!$B$7,C21*(1+Calculator!$B$18)^12+B22*Calculator!$B$19,"")</f>
        <v/>
      </c>
      <c r="D22" s="28">
        <f>IF(19&lt;=Calculator!$B$7,C22/(1+Calculator!$B$9)^19,"")</f>
        <v/>
      </c>
    </row>
    <row r="23">
      <c r="A23" s="24">
        <f>IF(20&lt;=Calculator!$B$7,20,"")</f>
        <v/>
      </c>
      <c r="B23" s="28">
        <f>IF(20&lt;=Calculator!$B$7,Calculator!$B$5*(1+Calculator!$B$6)^(20-1),"")</f>
        <v/>
      </c>
      <c r="C23" s="28">
        <f>IF(20&lt;=Calculator!$B$7,C22*(1+Calculator!$B$18)^12+B23*Calculator!$B$19,"")</f>
        <v/>
      </c>
      <c r="D23" s="28">
        <f>IF(20&lt;=Calculator!$B$7,C23/(1+Calculator!$B$9)^20,"")</f>
        <v/>
      </c>
    </row>
    <row r="24">
      <c r="A24" s="24">
        <f>IF(21&lt;=Calculator!$B$7,21,"")</f>
        <v/>
      </c>
      <c r="B24" s="28">
        <f>IF(21&lt;=Calculator!$B$7,Calculator!$B$5*(1+Calculator!$B$6)^(21-1),"")</f>
        <v/>
      </c>
      <c r="C24" s="28">
        <f>IF(21&lt;=Calculator!$B$7,C23*(1+Calculator!$B$18)^12+B24*Calculator!$B$19,"")</f>
        <v/>
      </c>
      <c r="D24" s="28">
        <f>IF(21&lt;=Calculator!$B$7,C24/(1+Calculator!$B$9)^21,"")</f>
        <v/>
      </c>
    </row>
    <row r="25">
      <c r="A25" s="24">
        <f>IF(22&lt;=Calculator!$B$7,22,"")</f>
        <v/>
      </c>
      <c r="B25" s="28">
        <f>IF(22&lt;=Calculator!$B$7,Calculator!$B$5*(1+Calculator!$B$6)^(22-1),"")</f>
        <v/>
      </c>
      <c r="C25" s="28">
        <f>IF(22&lt;=Calculator!$B$7,C24*(1+Calculator!$B$18)^12+B25*Calculator!$B$19,"")</f>
        <v/>
      </c>
      <c r="D25" s="28">
        <f>IF(22&lt;=Calculator!$B$7,C25/(1+Calculator!$B$9)^22,"")</f>
        <v/>
      </c>
    </row>
    <row r="26">
      <c r="A26" s="24">
        <f>IF(23&lt;=Calculator!$B$7,23,"")</f>
        <v/>
      </c>
      <c r="B26" s="28">
        <f>IF(23&lt;=Calculator!$B$7,Calculator!$B$5*(1+Calculator!$B$6)^(23-1),"")</f>
        <v/>
      </c>
      <c r="C26" s="28">
        <f>IF(23&lt;=Calculator!$B$7,C25*(1+Calculator!$B$18)^12+B26*Calculator!$B$19,"")</f>
        <v/>
      </c>
      <c r="D26" s="28">
        <f>IF(23&lt;=Calculator!$B$7,C26/(1+Calculator!$B$9)^23,"")</f>
        <v/>
      </c>
    </row>
    <row r="27">
      <c r="A27" s="24">
        <f>IF(24&lt;=Calculator!$B$7,24,"")</f>
        <v/>
      </c>
      <c r="B27" s="28">
        <f>IF(24&lt;=Calculator!$B$7,Calculator!$B$5*(1+Calculator!$B$6)^(24-1),"")</f>
        <v/>
      </c>
      <c r="C27" s="28">
        <f>IF(24&lt;=Calculator!$B$7,C26*(1+Calculator!$B$18)^12+B27*Calculator!$B$19,"")</f>
        <v/>
      </c>
      <c r="D27" s="28">
        <f>IF(24&lt;=Calculator!$B$7,C27/(1+Calculator!$B$9)^24,"")</f>
        <v/>
      </c>
    </row>
    <row r="28">
      <c r="A28" s="24">
        <f>IF(25&lt;=Calculator!$B$7,25,"")</f>
        <v/>
      </c>
      <c r="B28" s="28">
        <f>IF(25&lt;=Calculator!$B$7,Calculator!$B$5*(1+Calculator!$B$6)^(25-1),"")</f>
        <v/>
      </c>
      <c r="C28" s="28">
        <f>IF(25&lt;=Calculator!$B$7,C27*(1+Calculator!$B$18)^12+B28*Calculator!$B$19,"")</f>
        <v/>
      </c>
      <c r="D28" s="28">
        <f>IF(25&lt;=Calculator!$B$7,C28/(1+Calculator!$B$9)^25,"")</f>
        <v/>
      </c>
    </row>
    <row r="29">
      <c r="A29" s="24">
        <f>IF(26&lt;=Calculator!$B$7,26,"")</f>
        <v/>
      </c>
      <c r="B29" s="28">
        <f>IF(26&lt;=Calculator!$B$7,Calculator!$B$5*(1+Calculator!$B$6)^(26-1),"")</f>
        <v/>
      </c>
      <c r="C29" s="28">
        <f>IF(26&lt;=Calculator!$B$7,C28*(1+Calculator!$B$18)^12+B29*Calculator!$B$19,"")</f>
        <v/>
      </c>
      <c r="D29" s="28">
        <f>IF(26&lt;=Calculator!$B$7,C29/(1+Calculator!$B$9)^26,"")</f>
        <v/>
      </c>
    </row>
    <row r="30">
      <c r="A30" s="24">
        <f>IF(27&lt;=Calculator!$B$7,27,"")</f>
        <v/>
      </c>
      <c r="B30" s="28">
        <f>IF(27&lt;=Calculator!$B$7,Calculator!$B$5*(1+Calculator!$B$6)^(27-1),"")</f>
        <v/>
      </c>
      <c r="C30" s="28">
        <f>IF(27&lt;=Calculator!$B$7,C29*(1+Calculator!$B$18)^12+B30*Calculator!$B$19,"")</f>
        <v/>
      </c>
      <c r="D30" s="28">
        <f>IF(27&lt;=Calculator!$B$7,C30/(1+Calculator!$B$9)^27,"")</f>
        <v/>
      </c>
    </row>
    <row r="31">
      <c r="A31" s="24">
        <f>IF(28&lt;=Calculator!$B$7,28,"")</f>
        <v/>
      </c>
      <c r="B31" s="28">
        <f>IF(28&lt;=Calculator!$B$7,Calculator!$B$5*(1+Calculator!$B$6)^(28-1),"")</f>
        <v/>
      </c>
      <c r="C31" s="28">
        <f>IF(28&lt;=Calculator!$B$7,C30*(1+Calculator!$B$18)^12+B31*Calculator!$B$19,"")</f>
        <v/>
      </c>
      <c r="D31" s="28">
        <f>IF(28&lt;=Calculator!$B$7,C31/(1+Calculator!$B$9)^28,"")</f>
        <v/>
      </c>
    </row>
    <row r="32">
      <c r="A32" s="24">
        <f>IF(29&lt;=Calculator!$B$7,29,"")</f>
        <v/>
      </c>
      <c r="B32" s="28">
        <f>IF(29&lt;=Calculator!$B$7,Calculator!$B$5*(1+Calculator!$B$6)^(29-1),"")</f>
        <v/>
      </c>
      <c r="C32" s="28">
        <f>IF(29&lt;=Calculator!$B$7,C31*(1+Calculator!$B$18)^12+B32*Calculator!$B$19,"")</f>
        <v/>
      </c>
      <c r="D32" s="28">
        <f>IF(29&lt;=Calculator!$B$7,C32/(1+Calculator!$B$9)^29,"")</f>
        <v/>
      </c>
    </row>
    <row r="33">
      <c r="A33" s="24">
        <f>IF(30&lt;=Calculator!$B$7,30,"")</f>
        <v/>
      </c>
      <c r="B33" s="28">
        <f>IF(30&lt;=Calculator!$B$7,Calculator!$B$5*(1+Calculator!$B$6)^(30-1),"")</f>
        <v/>
      </c>
      <c r="C33" s="28">
        <f>IF(30&lt;=Calculator!$B$7,C32*(1+Calculator!$B$18)^12+B33*Calculator!$B$19,"")</f>
        <v/>
      </c>
      <c r="D33" s="28">
        <f>IF(30&lt;=Calculator!$B$7,C33/(1+Calculator!$B$9)^30,"")</f>
        <v/>
      </c>
    </row>
    <row r="34">
      <c r="A34" s="24">
        <f>IF(31&lt;=Calculator!$B$7,31,"")</f>
        <v/>
      </c>
      <c r="B34" s="28">
        <f>IF(31&lt;=Calculator!$B$7,Calculator!$B$5*(1+Calculator!$B$6)^(31-1),"")</f>
        <v/>
      </c>
      <c r="C34" s="28">
        <f>IF(31&lt;=Calculator!$B$7,C33*(1+Calculator!$B$18)^12+B34*Calculator!$B$19,"")</f>
        <v/>
      </c>
      <c r="D34" s="28">
        <f>IF(31&lt;=Calculator!$B$7,C34/(1+Calculator!$B$9)^31,"")</f>
        <v/>
      </c>
    </row>
    <row r="35">
      <c r="A35" s="24">
        <f>IF(32&lt;=Calculator!$B$7,32,"")</f>
        <v/>
      </c>
      <c r="B35" s="28">
        <f>IF(32&lt;=Calculator!$B$7,Calculator!$B$5*(1+Calculator!$B$6)^(32-1),"")</f>
        <v/>
      </c>
      <c r="C35" s="28">
        <f>IF(32&lt;=Calculator!$B$7,C34*(1+Calculator!$B$18)^12+B35*Calculator!$B$19,"")</f>
        <v/>
      </c>
      <c r="D35" s="28">
        <f>IF(32&lt;=Calculator!$B$7,C35/(1+Calculator!$B$9)^32,"")</f>
        <v/>
      </c>
    </row>
    <row r="36">
      <c r="A36" s="24">
        <f>IF(33&lt;=Calculator!$B$7,33,"")</f>
        <v/>
      </c>
      <c r="B36" s="28">
        <f>IF(33&lt;=Calculator!$B$7,Calculator!$B$5*(1+Calculator!$B$6)^(33-1),"")</f>
        <v/>
      </c>
      <c r="C36" s="28">
        <f>IF(33&lt;=Calculator!$B$7,C35*(1+Calculator!$B$18)^12+B36*Calculator!$B$19,"")</f>
        <v/>
      </c>
      <c r="D36" s="28">
        <f>IF(33&lt;=Calculator!$B$7,C36/(1+Calculator!$B$9)^33,"")</f>
        <v/>
      </c>
    </row>
    <row r="37">
      <c r="A37" s="24">
        <f>IF(34&lt;=Calculator!$B$7,34,"")</f>
        <v/>
      </c>
      <c r="B37" s="28">
        <f>IF(34&lt;=Calculator!$B$7,Calculator!$B$5*(1+Calculator!$B$6)^(34-1),"")</f>
        <v/>
      </c>
      <c r="C37" s="28">
        <f>IF(34&lt;=Calculator!$B$7,C36*(1+Calculator!$B$18)^12+B37*Calculator!$B$19,"")</f>
        <v/>
      </c>
      <c r="D37" s="28">
        <f>IF(34&lt;=Calculator!$B$7,C37/(1+Calculator!$B$9)^34,"")</f>
        <v/>
      </c>
    </row>
    <row r="38">
      <c r="A38" s="24">
        <f>IF(35&lt;=Calculator!$B$7,35,"")</f>
        <v/>
      </c>
      <c r="B38" s="28">
        <f>IF(35&lt;=Calculator!$B$7,Calculator!$B$5*(1+Calculator!$B$6)^(35-1),"")</f>
        <v/>
      </c>
      <c r="C38" s="28">
        <f>IF(35&lt;=Calculator!$B$7,C37*(1+Calculator!$B$18)^12+B38*Calculator!$B$19,"")</f>
        <v/>
      </c>
      <c r="D38" s="28">
        <f>IF(35&lt;=Calculator!$B$7,C38/(1+Calculator!$B$9)^35,"")</f>
        <v/>
      </c>
    </row>
    <row r="39">
      <c r="A39" s="24">
        <f>IF(36&lt;=Calculator!$B$7,36,"")</f>
        <v/>
      </c>
      <c r="B39" s="28">
        <f>IF(36&lt;=Calculator!$B$7,Calculator!$B$5*(1+Calculator!$B$6)^(36-1),"")</f>
        <v/>
      </c>
      <c r="C39" s="28">
        <f>IF(36&lt;=Calculator!$B$7,C38*(1+Calculator!$B$18)^12+B39*Calculator!$B$19,"")</f>
        <v/>
      </c>
      <c r="D39" s="28">
        <f>IF(36&lt;=Calculator!$B$7,C39/(1+Calculator!$B$9)^36,"")</f>
        <v/>
      </c>
    </row>
    <row r="40">
      <c r="A40" s="24">
        <f>IF(37&lt;=Calculator!$B$7,37,"")</f>
        <v/>
      </c>
      <c r="B40" s="28">
        <f>IF(37&lt;=Calculator!$B$7,Calculator!$B$5*(1+Calculator!$B$6)^(37-1),"")</f>
        <v/>
      </c>
      <c r="C40" s="28">
        <f>IF(37&lt;=Calculator!$B$7,C39*(1+Calculator!$B$18)^12+B40*Calculator!$B$19,"")</f>
        <v/>
      </c>
      <c r="D40" s="28">
        <f>IF(37&lt;=Calculator!$B$7,C40/(1+Calculator!$B$9)^37,"")</f>
        <v/>
      </c>
    </row>
    <row r="41">
      <c r="A41" s="24">
        <f>IF(38&lt;=Calculator!$B$7,38,"")</f>
        <v/>
      </c>
      <c r="B41" s="28">
        <f>IF(38&lt;=Calculator!$B$7,Calculator!$B$5*(1+Calculator!$B$6)^(38-1),"")</f>
        <v/>
      </c>
      <c r="C41" s="28">
        <f>IF(38&lt;=Calculator!$B$7,C40*(1+Calculator!$B$18)^12+B41*Calculator!$B$19,"")</f>
        <v/>
      </c>
      <c r="D41" s="28">
        <f>IF(38&lt;=Calculator!$B$7,C41/(1+Calculator!$B$9)^38,"")</f>
        <v/>
      </c>
    </row>
    <row r="42">
      <c r="A42" s="24">
        <f>IF(39&lt;=Calculator!$B$7,39,"")</f>
        <v/>
      </c>
      <c r="B42" s="28">
        <f>IF(39&lt;=Calculator!$B$7,Calculator!$B$5*(1+Calculator!$B$6)^(39-1),"")</f>
        <v/>
      </c>
      <c r="C42" s="28">
        <f>IF(39&lt;=Calculator!$B$7,C41*(1+Calculator!$B$18)^12+B42*Calculator!$B$19,"")</f>
        <v/>
      </c>
      <c r="D42" s="28">
        <f>IF(39&lt;=Calculator!$B$7,C42/(1+Calculator!$B$9)^39,"")</f>
        <v/>
      </c>
    </row>
    <row r="43">
      <c r="A43" s="24">
        <f>IF(40&lt;=Calculator!$B$7,40,"")</f>
        <v/>
      </c>
      <c r="B43" s="28">
        <f>IF(40&lt;=Calculator!$B$7,Calculator!$B$5*(1+Calculator!$B$6)^(40-1),"")</f>
        <v/>
      </c>
      <c r="C43" s="28">
        <f>IF(40&lt;=Calculator!$B$7,C42*(1+Calculator!$B$18)^12+B43*Calculator!$B$19,"")</f>
        <v/>
      </c>
      <c r="D43" s="28">
        <f>IF(40&lt;=Calculator!$B$7,C43/(1+Calculator!$B$9)^40,"")</f>
        <v/>
      </c>
    </row>
  </sheetData>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C8"/>
  <sheetViews>
    <sheetView workbookViewId="0">
      <selection activeCell="A1" sqref="A1"/>
    </sheetView>
  </sheetViews>
  <sheetFormatPr baseColWidth="8" defaultRowHeight="15"/>
  <cols>
    <col width="58" customWidth="1" min="1" max="1"/>
    <col width="16" customWidth="1" min="2" max="2"/>
    <col width="90" customWidth="1" min="3" max="3"/>
  </cols>
  <sheetData>
    <row r="1">
      <c r="A1" s="33" t="inlineStr">
        <is>
          <t>The method and the one outside figure. Last verified 29 October 2026.</t>
        </is>
      </c>
    </row>
    <row r="2">
      <c r="A2" s="17" t="inlineStr">
        <is>
          <t>Change a figure here only if the rule changes; every formula reads from this tab.</t>
        </is>
      </c>
    </row>
    <row r="4">
      <c r="A4" s="32" t="inlineStr">
        <is>
          <t>Rule</t>
        </is>
      </c>
      <c r="B4" s="32" t="inlineStr">
        <is>
          <t>Value</t>
        </is>
      </c>
      <c r="C4" s="32" t="inlineStr">
        <is>
          <t>Official source</t>
        </is>
      </c>
    </row>
    <row r="5">
      <c r="A5" s="19" t="inlineStr">
        <is>
          <t>RBI inflation target (CPI), for reference</t>
        </is>
      </c>
      <c r="B5" s="34" t="n">
        <v>0.04</v>
      </c>
      <c r="C5" s="35" t="inlineStr">
        <is>
          <t>±2% band, so 6% is the upper limit; renewed through March 2031. https://www.rbi.org.in/SCRIPTS/BS_SpeechesView.aspx?Id=1557</t>
        </is>
      </c>
    </row>
    <row r="6">
      <c r="A6" s="19" t="inlineStr">
        <is>
          <t>Upper tolerance limit, for reference</t>
        </is>
      </c>
      <c r="B6" s="34" t="n">
        <v>0.06</v>
      </c>
      <c r="C6" s="35" t="inlineStr">
        <is>
          <t>https://www.rbi.org.in/SCRIPTS/BS_SpeechesView.aspx?Id=1557</t>
        </is>
      </c>
    </row>
    <row r="8">
      <c r="A8" s="30" t="inlineStr">
        <is>
          <t>Method: you invest at the start of each month; monthly rate = (1 + yearly return)^(1/12) − 1; the SIP rises once every 12 months; today's rupees = amount ÷ (1 + inflation)^years.</t>
        </is>
      </c>
    </row>
  </sheetData>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D8"/>
  <sheetViews>
    <sheetView workbookViewId="0">
      <selection activeCell="A1" sqref="A1"/>
    </sheetView>
  </sheetViews>
  <sheetFormatPr baseColWidth="8" defaultRowHeight="15"/>
  <cols>
    <col width="64" customWidth="1" min="1" max="1"/>
    <col width="20" customWidth="1" min="2" max="2"/>
    <col width="20" customWidth="1" min="3" max="3"/>
    <col width="20" customWidth="1" min="4" max="4"/>
    <col width="20" customWidth="1" min="5" max="5"/>
    <col width="20" customWidth="1" min="6" max="6"/>
    <col width="20" customWidth="1" min="7" max="7"/>
  </cols>
  <sheetData>
    <row r="1">
      <c r="A1" s="31" t="inlineStr">
        <is>
          <t>Checked examples (v1.1, 29 October 2026)</t>
        </is>
      </c>
    </row>
    <row r="3">
      <c r="A3" s="32" t="inlineStr">
        <is>
          <t>Case</t>
        </is>
      </c>
      <c r="B3" s="32" t="inlineStr">
        <is>
          <t>Statement value (₹)</t>
        </is>
      </c>
      <c r="C3" s="32" t="inlineStr">
        <is>
          <t>In today's rupees (₹)</t>
        </is>
      </c>
      <c r="D3" s="32" t="inlineStr">
        <is>
          <t>Starting SIP (₹)</t>
        </is>
      </c>
    </row>
    <row r="4">
      <c r="A4" s="19" t="inlineStr">
        <is>
          <t>₹10,000, 10% step-up, 20 years, 12%, 5% inflation</t>
        </is>
      </c>
      <c r="B4" s="19" t="inlineStr">
        <is>
          <t>1,86,31,383</t>
        </is>
      </c>
      <c r="C4" s="19" t="inlineStr">
        <is>
          <t>70,21,972</t>
        </is>
      </c>
      <c r="D4" s="19" t="inlineStr"/>
    </row>
    <row r="5">
      <c r="A5" s="19" t="inlineStr">
        <is>
          <t>₹10,000 flat, 20 years, 12%, 5% inflation</t>
        </is>
      </c>
      <c r="B5" s="19" t="inlineStr">
        <is>
          <t>91,98,574</t>
        </is>
      </c>
      <c r="C5" s="19" t="inlineStr">
        <is>
          <t>34,66,846</t>
        </is>
      </c>
      <c r="D5" s="19" t="inlineStr"/>
    </row>
    <row r="6">
      <c r="A6" s="19" t="inlineStr">
        <is>
          <t>₹5,000, 5% step-up, 10 years, 10%, 6% inflation</t>
        </is>
      </c>
      <c r="B6" s="19" t="inlineStr">
        <is>
          <t>12,19,619</t>
        </is>
      </c>
      <c r="C6" s="19" t="inlineStr">
        <is>
          <t>6,81,029</t>
        </is>
      </c>
      <c r="D6" s="19" t="inlineStr"/>
    </row>
    <row r="7">
      <c r="A7" s="19" t="inlineStr">
        <is>
          <t>Goal ₹50 lakh today, 15 years, 11%, 6% inflation, 10% step-up</t>
        </is>
      </c>
      <c r="B7" s="19" t="inlineStr"/>
      <c r="C7" s="19" t="inlineStr"/>
      <c r="D7" s="19" t="inlineStr">
        <is>
          <t>15,531</t>
        </is>
      </c>
    </row>
    <row r="8">
      <c r="A8" s="19" t="inlineStr">
        <is>
          <t>Goal ₹48 lakh today, ₹5 lakh saved, 9 years, 8%, 10% inflation, 10% step-up</t>
        </is>
      </c>
      <c r="B8" s="19" t="inlineStr"/>
      <c r="C8" s="19" t="inlineStr"/>
      <c r="D8" s="19" t="inlineStr">
        <is>
          <t>45,945</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2026-10-28T18:32:23Z</dcterms:created>
  <dcterms:modified xmlns:dcterms="http://purl.org/dc/terms/" xmlns:xsi="http://www.w3.org/2001/XMLSchema-instance" xsi:type="dcterms:W3CDTF">2026-10-28T18:32:23Z</dcterms:modified>
</cp:coreProperties>
</file>