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Calculator" sheetId="3" state="visible" r:id="rId5"/>
    <sheet name="Year by year" sheetId="4" state="visible" r:id="rId6"/>
    <sheet name="Rules" sheetId="5" state="visible" r:id="rId7"/>
    <sheet name="Test case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<sst xmlns="http://schemas.openxmlformats.org/spreadsheetml/2006/main" count="81" uniqueCount="77">
  <si>
    <t xml:space="preserve">FD vs debt fund, after tax</t>
  </si>
  <si>
    <t xml:space="preserve">Both taxed at your slab since April 2023. What paying later is worth, on your money, tax year 2026-27.</t>
  </si>
  <si>
    <t xml:space="preserve">v1.0 · 21 October 2026 · rules last verified 21 October 2026</t>
  </si>
  <si>
    <t xml:space="preserve">Big-world economics, counted in loose change.</t>
  </si>
  <si>
    <t xml:space="preserve">How to use it</t>
  </si>
  <si>
    <t xml:space="preserve">1. Open the Calculator tab and replace the example numbers in the yellow cells.</t>
  </si>
  <si>
    <t xml:space="preserve">2. Read your results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</si>
  <si>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</si>
  <si>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</si>
  <si>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</si>
  <si>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tool: https://chillartheory.com/tools/fd-vs-debt-fund/</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</si>
  <si>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</si>
  <si>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</si>
  <si>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</si>
  <si>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</si>
  <si>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Percentages: type 7% as 7% (the cells are formatted as percentages). Slab rates: 0%, 5%, 10%, 15%, 20%, 25% or 30%.</t>
  </si>
  <si>
    <t xml:space="preserve">The FD's interest is taxed every year; the sheet takes that tax out of each year's interest.</t>
  </si>
  <si>
    <t xml:space="preserve">The fund's whole gain is taxed once, in the year you sell, at the slab rate you give for that year.</t>
  </si>
  <si>
    <t xml:space="preserve">The Year by year tab shows both, every year, as if you sold the fund that year.</t>
  </si>
  <si>
    <t xml:space="preserve">What it doesn't do</t>
  </si>
  <si>
    <t xml:space="preserve">Surcharge above ₹50 lakh of income; a big gain pushing part of it into a higher slab; exit loads; debt funds bought before 1 April 2023.</t>
  </si>
  <si>
    <t xml:space="preserve">Your bank's interest certificate and your fund statement are the final word. This newsletter is for education only. It is not investment, tax or legal advice and does not recommend any security or product. Do your own research or consult a registered professional.</t>
  </si>
  <si>
    <t xml:space="preserve">FD vs debt fund, after tax (tax year 2026-27)</t>
  </si>
  <si>
    <t xml:space="preserve">Type your numbers in the yellow cells (column B). Everything else is a formula. Example values are filled in: replace them.</t>
  </si>
  <si>
    <t xml:space="preserve">YOUR NUMBERS</t>
  </si>
  <si>
    <t xml:space="preserve">Amount you put in (₹)</t>
  </si>
  <si>
    <t xml:space="preserve">Years (1 to 30)</t>
  </si>
  <si>
    <t xml:space="preserve">Whole years.</t>
  </si>
  <si>
    <t xml:space="preserve">FD interest rate, a year</t>
  </si>
  <si>
    <t xml:space="preserve">Type 7% as 7%.</t>
  </si>
  <si>
    <t xml:space="preserve">FD compounding: times a year (4 = quarterly, 12 = monthly, 1 = yearly)</t>
  </si>
  <si>
    <t xml:space="preserve">Most banks compound quarterly.</t>
  </si>
  <si>
    <t xml:space="preserve">Debt fund return you expect, a year</t>
  </si>
  <si>
    <t xml:space="preserve">After the fund's expense ratio. Your assumption.</t>
  </si>
  <si>
    <t xml:space="preserve">Your slab rate now (0%, 5%, 10%, 15%, 20%, 25% or 30%)</t>
  </si>
  <si>
    <t xml:space="preserve">We add the 4% cess.</t>
  </si>
  <si>
    <t xml:space="preserve">Your slab rate in the year you sell the fund</t>
  </si>
  <si>
    <t xml:space="preserve">Lower if you'll sell in a low-income year.</t>
  </si>
  <si>
    <t xml:space="preserve">THE WORKING (formulas, don't type here)</t>
  </si>
  <si>
    <t xml:space="preserve">FD yield a year, with compounding</t>
  </si>
  <si>
    <t xml:space="preserve">Tax rate on FD interest, with cess</t>
  </si>
  <si>
    <t xml:space="preserve">Tax rate on the fund's gain when you sell, with cess</t>
  </si>
  <si>
    <t xml:space="preserve">FD AFTER TAX (₹)</t>
  </si>
  <si>
    <t xml:space="preserve">Tax on the FD, paid a little every year (₹)</t>
  </si>
  <si>
    <t xml:space="preserve">Debt fund before tax (₹)</t>
  </si>
  <si>
    <t xml:space="preserve">Tax on the fund, paid once when you sell (₹)</t>
  </si>
  <si>
    <t xml:space="preserve">DEBT FUND AFTER TAX (₹)</t>
  </si>
  <si>
    <t xml:space="preserve">DIFFERENCE, fund minus FD (₹; negative = FD ahead)</t>
  </si>
  <si>
    <t xml:space="preserve">Ahead after tax</t>
  </si>
  <si>
    <t xml:space="preserve">BREAK-EVEN FUND RETURN: below this, the FD ends ahead</t>
  </si>
  <si>
    <t xml:space="preserve">What waiting to pay tax alone is worth (fund at the FD's yield) (₹)</t>
  </si>
  <si>
    <t xml:space="preserve">Our calculation. This newsletter is for education only. It is not investment, tax or legal advice and does not recommend any security or product. Do your own research or consult a registered professional.</t>
  </si>
  <si>
    <t xml:space="preserve">Year by year (formulas read the Calculator tab)</t>
  </si>
  <si>
    <t xml:space="preserve">Year</t>
  </si>
  <si>
    <t xml:space="preserve">FD after tax (₹)</t>
  </si>
  <si>
    <t xml:space="preserve">Fund value before tax (₹)</t>
  </si>
  <si>
    <t xml:space="preserve">Fund if sold that year, after tax (₹)</t>
  </si>
  <si>
    <t xml:space="preserve">Rules used (tax year 2026-27, resident individuals). Last verified 21 October 2026.</t>
  </si>
  <si>
    <t xml:space="preserve">Change a figure here only if the rule changes; every formula reads from this tab.</t>
  </si>
  <si>
    <t xml:space="preserve">Rule</t>
  </si>
  <si>
    <t xml:space="preserve">Value</t>
  </si>
  <si>
    <t xml:space="preserve">Official source</t>
  </si>
  <si>
    <t xml:space="preserve">Health and education cess</t>
  </si>
  <si>
    <t xml:space="preserve">Finance Bill 2026: https://incometaxindia.gov.in/Budgets%20and%20Bills/2026/Finance_Bill-2026.pdf</t>
  </si>
  <si>
    <t xml:space="preserve">FD interest is taxed each year as it accrues (CBDT Circular 371: https://incometaxindia.gov.in/Communications/Circular/910110000000000723.htm). Units of a specified mutual fund bought on or after 1 April 2023 give short-term gains taxed at your slab, once, when you sell (Income-tax Act 2025 s.76: https://www.incometaxindia.gov.in/w/section-76-102).</t>
  </si>
  <si>
    <t xml:space="preserve">Checked examples (v1.0, 21 October 2026): ₹10 lakh, 5 years, FD 7% compounded quarterly</t>
  </si>
  <si>
    <t xml:space="preserve">Case</t>
  </si>
  <si>
    <t xml:space="preserve">Debt fund after tax (₹)</t>
  </si>
  <si>
    <t xml:space="preserve">Fund earns 7.1859% (the FD's yearly yield), 30% slab</t>
  </si>
  <si>
    <t xml:space="preserve">12,72,876</t>
  </si>
  <si>
    <t xml:space="preserve">12,85,367</t>
  </si>
  <si>
    <t xml:space="preserve">Fund earns 7.00%, 30% slab</t>
  </si>
  <si>
    <t xml:space="preserve">12,76,956</t>
  </si>
  <si>
    <t xml:space="preserve">Fund earns 7.00%, sold in a 5% slab year</t>
  </si>
  <si>
    <t xml:space="preserve">13,81,619</t>
  </si>
  <si>
    <t xml:space="preserve">No tax at all, same yield</t>
  </si>
  <si>
    <t xml:space="preserve">14,14,778</t>
  </si>
</sst>
</file>

<file path=xl/styles.xml><?xml version="1.0" encoding="utf-8"?>
<styleSheet xmlns="http://schemas.openxmlformats.org/spreadsheetml/2006/main">
  <numFmts count="6">
    <numFmt numFmtId="164" formatCode="General"/>
    <numFmt numFmtId="165" formatCode="#,##0"/>
    <numFmt numFmtId="166" formatCode="0"/>
    <numFmt numFmtId="167" formatCode="0.0%"/>
    <numFmt numFmtId="168" formatCode="0.0000"/>
    <numFmt numFmtId="169" formatCode="@"/>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7"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8"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9" fontId="21" fillId="0"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fd-vs-debt-fund/"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fd-vs-debt-fund" display="Subscribe free at chillartheory.com"/>
    <hyperlink ref="B23" r:id="rId2" display="The live tool: https://chillartheory.com/tools/fd-vs-debt-fund/"/>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15" hidden="false" customHeight="false" outlineLevel="0" collapsed="false">
      <c r="A6" s="15" t="s">
        <v>17</v>
      </c>
    </row>
    <row r="7" customFormat="false" ht="15" hidden="false" customHeight="false" outlineLevel="0" collapsed="false">
      <c r="A7" s="15" t="s">
        <v>18</v>
      </c>
    </row>
    <row r="8" customFormat="false" ht="15" hidden="false" customHeight="false" outlineLevel="0" collapsed="false">
      <c r="A8" s="15"/>
    </row>
    <row r="9" customFormat="false" ht="16.15" hidden="false" customHeight="false" outlineLevel="0" collapsed="false">
      <c r="A9" s="14" t="s">
        <v>19</v>
      </c>
    </row>
    <row r="10" customFormat="false" ht="26.85" hidden="false" customHeight="false" outlineLevel="0" collapsed="false">
      <c r="A10" s="15" t="s">
        <v>20</v>
      </c>
    </row>
    <row r="11" customFormat="false" ht="15" hidden="false" customHeight="false" outlineLevel="0" collapsed="false">
      <c r="A11" s="15"/>
    </row>
    <row r="12" customFormat="false" ht="39.55" hidden="false" customHeight="false" outlineLevel="0" collapsed="false">
      <c r="A12" s="15"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22</v>
      </c>
    </row>
    <row r="2" customFormat="false" ht="15" hidden="false" customHeight="false" outlineLevel="0" collapsed="false">
      <c r="A2" s="17" t="s">
        <v>23</v>
      </c>
    </row>
    <row r="4" customFormat="false" ht="15" hidden="false" customHeight="false" outlineLevel="0" collapsed="false">
      <c r="A4" s="18" t="s">
        <v>24</v>
      </c>
    </row>
    <row r="5" customFormat="false" ht="15" hidden="false" customHeight="false" outlineLevel="0" collapsed="false">
      <c r="A5" s="19" t="s">
        <v>25</v>
      </c>
      <c r="B5" s="20" t="n">
        <v>1000000</v>
      </c>
      <c r="C5" s="21"/>
    </row>
    <row r="6" customFormat="false" ht="15" hidden="false" customHeight="false" outlineLevel="0" collapsed="false">
      <c r="A6" s="19" t="s">
        <v>26</v>
      </c>
      <c r="B6" s="22" t="n">
        <v>5</v>
      </c>
      <c r="C6" s="21" t="s">
        <v>27</v>
      </c>
    </row>
    <row r="7" customFormat="false" ht="15" hidden="false" customHeight="false" outlineLevel="0" collapsed="false">
      <c r="A7" s="19" t="s">
        <v>28</v>
      </c>
      <c r="B7" s="23" t="n">
        <v>0.07</v>
      </c>
      <c r="C7" s="21" t="s">
        <v>29</v>
      </c>
    </row>
    <row r="8" customFormat="false" ht="15" hidden="false" customHeight="false" outlineLevel="0" collapsed="false">
      <c r="A8" s="19" t="s">
        <v>30</v>
      </c>
      <c r="B8" s="22" t="n">
        <v>4</v>
      </c>
      <c r="C8" s="21" t="s">
        <v>31</v>
      </c>
    </row>
    <row r="9" customFormat="false" ht="15" hidden="false" customHeight="false" outlineLevel="0" collapsed="false">
      <c r="A9" s="19" t="s">
        <v>32</v>
      </c>
      <c r="B9" s="23" t="n">
        <v>0.07</v>
      </c>
      <c r="C9" s="21" t="s">
        <v>33</v>
      </c>
    </row>
    <row r="10" customFormat="false" ht="15" hidden="false" customHeight="false" outlineLevel="0" collapsed="false">
      <c r="A10" s="19" t="s">
        <v>34</v>
      </c>
      <c r="B10" s="23" t="n">
        <v>0.3</v>
      </c>
      <c r="C10" s="21" t="s">
        <v>35</v>
      </c>
    </row>
    <row r="11" customFormat="false" ht="15" hidden="false" customHeight="false" outlineLevel="0" collapsed="false">
      <c r="A11" s="19" t="s">
        <v>36</v>
      </c>
      <c r="B11" s="23" t="n">
        <v>0.3</v>
      </c>
      <c r="C11" s="21" t="s">
        <v>37</v>
      </c>
    </row>
    <row r="13" customFormat="false" ht="15" hidden="false" customHeight="false" outlineLevel="0" collapsed="false">
      <c r="A13" s="18" t="s">
        <v>38</v>
      </c>
    </row>
    <row r="14" customFormat="false" ht="15" hidden="false" customHeight="false" outlineLevel="0" collapsed="false">
      <c r="A14" s="24" t="s">
        <v>39</v>
      </c>
      <c r="B14" s="25" t="n">
        <f aca="false">(1+$B$7/$B$8)^$B$8-1</f>
        <v>0.0718590312890628</v>
      </c>
    </row>
    <row r="15" customFormat="false" ht="15" hidden="false" customHeight="false" outlineLevel="0" collapsed="false">
      <c r="A15" s="24" t="s">
        <v>40</v>
      </c>
      <c r="B15" s="25" t="n">
        <f aca="false">$B$10*(1+Rules!$B$5)</f>
        <v>0.312</v>
      </c>
    </row>
    <row r="16" customFormat="false" ht="15" hidden="false" customHeight="false" outlineLevel="0" collapsed="false">
      <c r="A16" s="24" t="s">
        <v>41</v>
      </c>
      <c r="B16" s="25" t="n">
        <f aca="false">$B$11*(1+Rules!$B$5)</f>
        <v>0.312</v>
      </c>
    </row>
    <row r="17" customFormat="false" ht="15" hidden="false" customHeight="false" outlineLevel="0" collapsed="false">
      <c r="A17" s="26" t="s">
        <v>42</v>
      </c>
      <c r="B17" s="27" t="n">
        <f aca="false">$B$5*(1+$B$14*(1-$B$15))^$B$6</f>
        <v>1272875.79084614</v>
      </c>
    </row>
    <row r="18" customFormat="false" ht="15" hidden="false" customHeight="false" outlineLevel="0" collapsed="false">
      <c r="A18" s="24" t="s">
        <v>43</v>
      </c>
      <c r="B18" s="28" t="n">
        <f aca="false">IF($B$15&gt;=1,0,($B$17-$B$5)*$B$15/(1-$B$15))</f>
        <v>123745.998174414</v>
      </c>
    </row>
    <row r="19" customFormat="false" ht="15" hidden="false" customHeight="false" outlineLevel="0" collapsed="false">
      <c r="A19" s="24" t="s">
        <v>44</v>
      </c>
      <c r="B19" s="28" t="n">
        <f aca="false">$B$5*(1+$B$9)^$B$6</f>
        <v>1402551.7307</v>
      </c>
    </row>
    <row r="20" customFormat="false" ht="15" hidden="false" customHeight="false" outlineLevel="0" collapsed="false">
      <c r="A20" s="24" t="s">
        <v>45</v>
      </c>
      <c r="B20" s="28" t="n">
        <f aca="false">($B$19-$B$5)*$B$16</f>
        <v>125596.1399784</v>
      </c>
    </row>
    <row r="21" customFormat="false" ht="15" hidden="false" customHeight="false" outlineLevel="0" collapsed="false">
      <c r="A21" s="26" t="s">
        <v>46</v>
      </c>
      <c r="B21" s="27" t="n">
        <f aca="false">$B$19-$B$20</f>
        <v>1276955.5907216</v>
      </c>
    </row>
    <row r="22" customFormat="false" ht="15" hidden="false" customHeight="false" outlineLevel="0" collapsed="false">
      <c r="A22" s="26" t="s">
        <v>47</v>
      </c>
      <c r="B22" s="27" t="n">
        <f aca="false">$B$21-$B$17</f>
        <v>4079.79987545637</v>
      </c>
    </row>
    <row r="23" customFormat="false" ht="15" hidden="false" customHeight="false" outlineLevel="0" collapsed="false">
      <c r="A23" s="24" t="s">
        <v>48</v>
      </c>
      <c r="B23" s="29" t="str">
        <f aca="false">IF(ABS($B$22)&lt;1,"Tie",IF($B$22&gt;0,"Debt fund","FD"))</f>
        <v>Debt fund</v>
      </c>
    </row>
    <row r="24" customFormat="false" ht="15" hidden="false" customHeight="false" outlineLevel="0" collapsed="false">
      <c r="A24" s="26" t="s">
        <v>49</v>
      </c>
      <c r="B24" s="30" t="n">
        <f aca="false">(((1+$B$14*(1-$B$15))^$B$6-$B$16)/(1-$B$16))^(1/$B$6)-1</f>
        <v>0.0690936811238474</v>
      </c>
    </row>
    <row r="25" customFormat="false" ht="15" hidden="false" customHeight="false" outlineLevel="0" collapsed="false">
      <c r="A25" s="24" t="s">
        <v>50</v>
      </c>
      <c r="B25" s="28" t="n">
        <f aca="false">$B$5*(1+$B$14)^$B$6-($B$5*(1+$B$14)^$B$6-$B$5)*$B$16-$B$17</f>
        <v>12491.6078338465</v>
      </c>
    </row>
    <row r="27" customFormat="false" ht="15" hidden="false" customHeight="false" outlineLevel="0" collapsed="false">
      <c r="A27" s="31" t="s">
        <v>51</v>
      </c>
    </row>
  </sheetData>
  <dataValidations count="1">
    <dataValidation allowBlank="false" errorStyle="stop" operator="between" showDropDown="false" showErrorMessage="false" showInputMessage="false" sqref="B8" type="list">
      <formula1>"1,2,4,12"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0"/>
    <col collapsed="false" customWidth="true" hidden="false" outlineLevel="0" max="3" min="3" style="0" width="24"/>
    <col collapsed="false" customWidth="true" hidden="false" outlineLevel="0" max="4" min="4" style="0" width="30"/>
  </cols>
  <sheetData>
    <row r="1" customFormat="false" ht="15" hidden="false" customHeight="false" outlineLevel="0" collapsed="false">
      <c r="A1" s="32" t="s">
        <v>52</v>
      </c>
    </row>
    <row r="3" customFormat="false" ht="15" hidden="false" customHeight="false" outlineLevel="0" collapsed="false">
      <c r="A3" s="33" t="s">
        <v>53</v>
      </c>
      <c r="B3" s="33" t="s">
        <v>54</v>
      </c>
      <c r="C3" s="33" t="s">
        <v>55</v>
      </c>
      <c r="D3" s="33" t="s">
        <v>56</v>
      </c>
    </row>
    <row r="4" customFormat="false" ht="15" hidden="false" customHeight="false" outlineLevel="0" collapsed="false">
      <c r="A4" s="24" t="n">
        <f aca="false">IF(1&lt;=Calculator!$B$6,1,"")</f>
        <v>1</v>
      </c>
      <c r="B4" s="28" t="n">
        <f aca="false">IF(1&lt;=Calculator!$B$6,Calculator!$B$5*(1+Calculator!$B$14*(1-Calculator!$B$15))^1,"")</f>
        <v>1049439.01352688</v>
      </c>
      <c r="C4" s="28" t="n">
        <f aca="false">IF(1&lt;=Calculator!$B$6,Calculator!$B$5*(1+Calculator!$B$9)^1,"")</f>
        <v>1070000</v>
      </c>
      <c r="D4" s="28" t="n">
        <f aca="false">IF(1&lt;=Calculator!$B$6,C4-(C4-Calculator!$B$5)*Calculator!$B$16,"")</f>
        <v>1048160</v>
      </c>
    </row>
    <row r="5" customFormat="false" ht="15" hidden="false" customHeight="false" outlineLevel="0" collapsed="false">
      <c r="A5" s="24" t="n">
        <f aca="false">IF(2&lt;=Calculator!$B$6,2,"")</f>
        <v>2</v>
      </c>
      <c r="B5" s="28" t="n">
        <f aca="false">IF(2&lt;=Calculator!$B$6,Calculator!$B$5*(1+Calculator!$B$14*(1-Calculator!$B$15))^2,"")</f>
        <v>1101322.24311226</v>
      </c>
      <c r="C5" s="28" t="n">
        <f aca="false">IF(2&lt;=Calculator!$B$6,Calculator!$B$5*(1+Calculator!$B$9)^2,"")</f>
        <v>1144900</v>
      </c>
      <c r="D5" s="28" t="n">
        <f aca="false">IF(2&lt;=Calculator!$B$6,C5-(C5-Calculator!$B$5)*Calculator!$B$16,"")</f>
        <v>1099691.2</v>
      </c>
    </row>
    <row r="6" customFormat="false" ht="15" hidden="false" customHeight="false" outlineLevel="0" collapsed="false">
      <c r="A6" s="24" t="n">
        <f aca="false">IF(3&lt;=Calculator!$B$6,3,"")</f>
        <v>3</v>
      </c>
      <c r="B6" s="28" t="n">
        <f aca="false">IF(3&lt;=Calculator!$B$6,Calculator!$B$5*(1+Calculator!$B$14*(1-Calculator!$B$15))^3,"")</f>
        <v>1155770.52838694</v>
      </c>
      <c r="C6" s="28" t="n">
        <f aca="false">IF(3&lt;=Calculator!$B$6,Calculator!$B$5*(1+Calculator!$B$9)^3,"")</f>
        <v>1225043</v>
      </c>
      <c r="D6" s="28" t="n">
        <f aca="false">IF(3&lt;=Calculator!$B$6,C6-(C6-Calculator!$B$5)*Calculator!$B$16,"")</f>
        <v>1154829.584</v>
      </c>
    </row>
    <row r="7" customFormat="false" ht="15" hidden="false" customHeight="false" outlineLevel="0" collapsed="false">
      <c r="A7" s="24" t="n">
        <f aca="false">IF(4&lt;=Calculator!$B$6,4,"")</f>
        <v>4</v>
      </c>
      <c r="B7" s="28" t="n">
        <f aca="false">IF(4&lt;=Calculator!$B$6,Calculator!$B$5*(1+Calculator!$B$14*(1-Calculator!$B$15))^4,"")</f>
        <v>1212910.68317382</v>
      </c>
      <c r="C7" s="28" t="n">
        <f aca="false">IF(4&lt;=Calculator!$B$6,Calculator!$B$5*(1+Calculator!$B$9)^4,"")</f>
        <v>1310796.01</v>
      </c>
      <c r="D7" s="28" t="n">
        <f aca="false">IF(4&lt;=Calculator!$B$6,C7-(C7-Calculator!$B$5)*Calculator!$B$16,"")</f>
        <v>1213827.65488</v>
      </c>
    </row>
    <row r="8" customFormat="false" ht="15" hidden="false" customHeight="false" outlineLevel="0" collapsed="false">
      <c r="A8" s="24" t="n">
        <f aca="false">IF(5&lt;=Calculator!$B$6,5,"")</f>
        <v>5</v>
      </c>
      <c r="B8" s="28" t="n">
        <f aca="false">IF(5&lt;=Calculator!$B$6,Calculator!$B$5*(1+Calculator!$B$14*(1-Calculator!$B$15))^5,"")</f>
        <v>1272875.79084614</v>
      </c>
      <c r="C8" s="28" t="n">
        <f aca="false">IF(5&lt;=Calculator!$B$6,Calculator!$B$5*(1+Calculator!$B$9)^5,"")</f>
        <v>1402551.7307</v>
      </c>
      <c r="D8" s="28" t="n">
        <f aca="false">IF(5&lt;=Calculator!$B$6,C8-(C8-Calculator!$B$5)*Calculator!$B$16,"")</f>
        <v>1276955.5907216</v>
      </c>
    </row>
    <row r="9" customFormat="false" ht="15" hidden="false" customHeight="false" outlineLevel="0" collapsed="false">
      <c r="A9" s="24" t="str">
        <f aca="false">IF(6&lt;=Calculator!$B$6,6,"")</f>
        <v/>
      </c>
      <c r="B9" s="28" t="str">
        <f aca="false">IF(6&lt;=Calculator!$B$6,Calculator!$B$5*(1+Calculator!$B$14*(1-Calculator!$B$15))^6,"")</f>
        <v/>
      </c>
      <c r="C9" s="28" t="str">
        <f aca="false">IF(6&lt;=Calculator!$B$6,Calculator!$B$5*(1+Calculator!$B$9)^6,"")</f>
        <v/>
      </c>
      <c r="D9" s="28" t="str">
        <f aca="false">IF(6&lt;=Calculator!$B$6,C9-(C9-Calculator!$B$5)*Calculator!$B$16,"")</f>
        <v/>
      </c>
    </row>
    <row r="10" customFormat="false" ht="15" hidden="false" customHeight="false" outlineLevel="0" collapsed="false">
      <c r="A10" s="24" t="str">
        <f aca="false">IF(7&lt;=Calculator!$B$6,7,"")</f>
        <v/>
      </c>
      <c r="B10" s="28" t="str">
        <f aca="false">IF(7&lt;=Calculator!$B$6,Calculator!$B$5*(1+Calculator!$B$14*(1-Calculator!$B$15))^7,"")</f>
        <v/>
      </c>
      <c r="C10" s="28" t="str">
        <f aca="false">IF(7&lt;=Calculator!$B$6,Calculator!$B$5*(1+Calculator!$B$9)^7,"")</f>
        <v/>
      </c>
      <c r="D10" s="28" t="str">
        <f aca="false">IF(7&lt;=Calculator!$B$6,C10-(C10-Calculator!$B$5)*Calculator!$B$16,"")</f>
        <v/>
      </c>
    </row>
    <row r="11" customFormat="false" ht="15" hidden="false" customHeight="false" outlineLevel="0" collapsed="false">
      <c r="A11" s="24" t="str">
        <f aca="false">IF(8&lt;=Calculator!$B$6,8,"")</f>
        <v/>
      </c>
      <c r="B11" s="28" t="str">
        <f aca="false">IF(8&lt;=Calculator!$B$6,Calculator!$B$5*(1+Calculator!$B$14*(1-Calculator!$B$15))^8,"")</f>
        <v/>
      </c>
      <c r="C11" s="28" t="str">
        <f aca="false">IF(8&lt;=Calculator!$B$6,Calculator!$B$5*(1+Calculator!$B$9)^8,"")</f>
        <v/>
      </c>
      <c r="D11" s="28" t="str">
        <f aca="false">IF(8&lt;=Calculator!$B$6,C11-(C11-Calculator!$B$5)*Calculator!$B$16,"")</f>
        <v/>
      </c>
    </row>
    <row r="12" customFormat="false" ht="15" hidden="false" customHeight="false" outlineLevel="0" collapsed="false">
      <c r="A12" s="24" t="str">
        <f aca="false">IF(9&lt;=Calculator!$B$6,9,"")</f>
        <v/>
      </c>
      <c r="B12" s="28" t="str">
        <f aca="false">IF(9&lt;=Calculator!$B$6,Calculator!$B$5*(1+Calculator!$B$14*(1-Calculator!$B$15))^9,"")</f>
        <v/>
      </c>
      <c r="C12" s="28" t="str">
        <f aca="false">IF(9&lt;=Calculator!$B$6,Calculator!$B$5*(1+Calculator!$B$9)^9,"")</f>
        <v/>
      </c>
      <c r="D12" s="28" t="str">
        <f aca="false">IF(9&lt;=Calculator!$B$6,C12-(C12-Calculator!$B$5)*Calculator!$B$16,"")</f>
        <v/>
      </c>
    </row>
    <row r="13" customFormat="false" ht="15" hidden="false" customHeight="false" outlineLevel="0" collapsed="false">
      <c r="A13" s="24" t="str">
        <f aca="false">IF(10&lt;=Calculator!$B$6,10,"")</f>
        <v/>
      </c>
      <c r="B13" s="28" t="str">
        <f aca="false">IF(10&lt;=Calculator!$B$6,Calculator!$B$5*(1+Calculator!$B$14*(1-Calculator!$B$15))^10,"")</f>
        <v/>
      </c>
      <c r="C13" s="28" t="str">
        <f aca="false">IF(10&lt;=Calculator!$B$6,Calculator!$B$5*(1+Calculator!$B$9)^10,"")</f>
        <v/>
      </c>
      <c r="D13" s="28" t="str">
        <f aca="false">IF(10&lt;=Calculator!$B$6,C13-(C13-Calculator!$B$5)*Calculator!$B$16,"")</f>
        <v/>
      </c>
    </row>
    <row r="14" customFormat="false" ht="15" hidden="false" customHeight="false" outlineLevel="0" collapsed="false">
      <c r="A14" s="24" t="str">
        <f aca="false">IF(11&lt;=Calculator!$B$6,11,"")</f>
        <v/>
      </c>
      <c r="B14" s="28" t="str">
        <f aca="false">IF(11&lt;=Calculator!$B$6,Calculator!$B$5*(1+Calculator!$B$14*(1-Calculator!$B$15))^11,"")</f>
        <v/>
      </c>
      <c r="C14" s="28" t="str">
        <f aca="false">IF(11&lt;=Calculator!$B$6,Calculator!$B$5*(1+Calculator!$B$9)^11,"")</f>
        <v/>
      </c>
      <c r="D14" s="28" t="str">
        <f aca="false">IF(11&lt;=Calculator!$B$6,C14-(C14-Calculator!$B$5)*Calculator!$B$16,"")</f>
        <v/>
      </c>
    </row>
    <row r="15" customFormat="false" ht="15" hidden="false" customHeight="false" outlineLevel="0" collapsed="false">
      <c r="A15" s="24" t="str">
        <f aca="false">IF(12&lt;=Calculator!$B$6,12,"")</f>
        <v/>
      </c>
      <c r="B15" s="28" t="str">
        <f aca="false">IF(12&lt;=Calculator!$B$6,Calculator!$B$5*(1+Calculator!$B$14*(1-Calculator!$B$15))^12,"")</f>
        <v/>
      </c>
      <c r="C15" s="28" t="str">
        <f aca="false">IF(12&lt;=Calculator!$B$6,Calculator!$B$5*(1+Calculator!$B$9)^12,"")</f>
        <v/>
      </c>
      <c r="D15" s="28" t="str">
        <f aca="false">IF(12&lt;=Calculator!$B$6,C15-(C15-Calculator!$B$5)*Calculator!$B$16,"")</f>
        <v/>
      </c>
    </row>
    <row r="16" customFormat="false" ht="15" hidden="false" customHeight="false" outlineLevel="0" collapsed="false">
      <c r="A16" s="24" t="str">
        <f aca="false">IF(13&lt;=Calculator!$B$6,13,"")</f>
        <v/>
      </c>
      <c r="B16" s="28" t="str">
        <f aca="false">IF(13&lt;=Calculator!$B$6,Calculator!$B$5*(1+Calculator!$B$14*(1-Calculator!$B$15))^13,"")</f>
        <v/>
      </c>
      <c r="C16" s="28" t="str">
        <f aca="false">IF(13&lt;=Calculator!$B$6,Calculator!$B$5*(1+Calculator!$B$9)^13,"")</f>
        <v/>
      </c>
      <c r="D16" s="28" t="str">
        <f aca="false">IF(13&lt;=Calculator!$B$6,C16-(C16-Calculator!$B$5)*Calculator!$B$16,"")</f>
        <v/>
      </c>
    </row>
    <row r="17" customFormat="false" ht="15" hidden="false" customHeight="false" outlineLevel="0" collapsed="false">
      <c r="A17" s="24" t="str">
        <f aca="false">IF(14&lt;=Calculator!$B$6,14,"")</f>
        <v/>
      </c>
      <c r="B17" s="28" t="str">
        <f aca="false">IF(14&lt;=Calculator!$B$6,Calculator!$B$5*(1+Calculator!$B$14*(1-Calculator!$B$15))^14,"")</f>
        <v/>
      </c>
      <c r="C17" s="28" t="str">
        <f aca="false">IF(14&lt;=Calculator!$B$6,Calculator!$B$5*(1+Calculator!$B$9)^14,"")</f>
        <v/>
      </c>
      <c r="D17" s="28" t="str">
        <f aca="false">IF(14&lt;=Calculator!$B$6,C17-(C17-Calculator!$B$5)*Calculator!$B$16,"")</f>
        <v/>
      </c>
    </row>
    <row r="18" customFormat="false" ht="15" hidden="false" customHeight="false" outlineLevel="0" collapsed="false">
      <c r="A18" s="24" t="str">
        <f aca="false">IF(15&lt;=Calculator!$B$6,15,"")</f>
        <v/>
      </c>
      <c r="B18" s="28" t="str">
        <f aca="false">IF(15&lt;=Calculator!$B$6,Calculator!$B$5*(1+Calculator!$B$14*(1-Calculator!$B$15))^15,"")</f>
        <v/>
      </c>
      <c r="C18" s="28" t="str">
        <f aca="false">IF(15&lt;=Calculator!$B$6,Calculator!$B$5*(1+Calculator!$B$9)^15,"")</f>
        <v/>
      </c>
      <c r="D18" s="28" t="str">
        <f aca="false">IF(15&lt;=Calculator!$B$6,C18-(C18-Calculator!$B$5)*Calculator!$B$16,"")</f>
        <v/>
      </c>
    </row>
    <row r="19" customFormat="false" ht="15" hidden="false" customHeight="false" outlineLevel="0" collapsed="false">
      <c r="A19" s="24" t="str">
        <f aca="false">IF(16&lt;=Calculator!$B$6,16,"")</f>
        <v/>
      </c>
      <c r="B19" s="28" t="str">
        <f aca="false">IF(16&lt;=Calculator!$B$6,Calculator!$B$5*(1+Calculator!$B$14*(1-Calculator!$B$15))^16,"")</f>
        <v/>
      </c>
      <c r="C19" s="28" t="str">
        <f aca="false">IF(16&lt;=Calculator!$B$6,Calculator!$B$5*(1+Calculator!$B$9)^16,"")</f>
        <v/>
      </c>
      <c r="D19" s="28" t="str">
        <f aca="false">IF(16&lt;=Calculator!$B$6,C19-(C19-Calculator!$B$5)*Calculator!$B$16,"")</f>
        <v/>
      </c>
    </row>
    <row r="20" customFormat="false" ht="15" hidden="false" customHeight="false" outlineLevel="0" collapsed="false">
      <c r="A20" s="24" t="str">
        <f aca="false">IF(17&lt;=Calculator!$B$6,17,"")</f>
        <v/>
      </c>
      <c r="B20" s="28" t="str">
        <f aca="false">IF(17&lt;=Calculator!$B$6,Calculator!$B$5*(1+Calculator!$B$14*(1-Calculator!$B$15))^17,"")</f>
        <v/>
      </c>
      <c r="C20" s="28" t="str">
        <f aca="false">IF(17&lt;=Calculator!$B$6,Calculator!$B$5*(1+Calculator!$B$9)^17,"")</f>
        <v/>
      </c>
      <c r="D20" s="28" t="str">
        <f aca="false">IF(17&lt;=Calculator!$B$6,C20-(C20-Calculator!$B$5)*Calculator!$B$16,"")</f>
        <v/>
      </c>
    </row>
    <row r="21" customFormat="false" ht="15" hidden="false" customHeight="false" outlineLevel="0" collapsed="false">
      <c r="A21" s="24" t="str">
        <f aca="false">IF(18&lt;=Calculator!$B$6,18,"")</f>
        <v/>
      </c>
      <c r="B21" s="28" t="str">
        <f aca="false">IF(18&lt;=Calculator!$B$6,Calculator!$B$5*(1+Calculator!$B$14*(1-Calculator!$B$15))^18,"")</f>
        <v/>
      </c>
      <c r="C21" s="28" t="str">
        <f aca="false">IF(18&lt;=Calculator!$B$6,Calculator!$B$5*(1+Calculator!$B$9)^18,"")</f>
        <v/>
      </c>
      <c r="D21" s="28" t="str">
        <f aca="false">IF(18&lt;=Calculator!$B$6,C21-(C21-Calculator!$B$5)*Calculator!$B$16,"")</f>
        <v/>
      </c>
    </row>
    <row r="22" customFormat="false" ht="15" hidden="false" customHeight="false" outlineLevel="0" collapsed="false">
      <c r="A22" s="24" t="str">
        <f aca="false">IF(19&lt;=Calculator!$B$6,19,"")</f>
        <v/>
      </c>
      <c r="B22" s="28" t="str">
        <f aca="false">IF(19&lt;=Calculator!$B$6,Calculator!$B$5*(1+Calculator!$B$14*(1-Calculator!$B$15))^19,"")</f>
        <v/>
      </c>
      <c r="C22" s="28" t="str">
        <f aca="false">IF(19&lt;=Calculator!$B$6,Calculator!$B$5*(1+Calculator!$B$9)^19,"")</f>
        <v/>
      </c>
      <c r="D22" s="28" t="str">
        <f aca="false">IF(19&lt;=Calculator!$B$6,C22-(C22-Calculator!$B$5)*Calculator!$B$16,"")</f>
        <v/>
      </c>
    </row>
    <row r="23" customFormat="false" ht="15" hidden="false" customHeight="false" outlineLevel="0" collapsed="false">
      <c r="A23" s="24" t="str">
        <f aca="false">IF(20&lt;=Calculator!$B$6,20,"")</f>
        <v/>
      </c>
      <c r="B23" s="28" t="str">
        <f aca="false">IF(20&lt;=Calculator!$B$6,Calculator!$B$5*(1+Calculator!$B$14*(1-Calculator!$B$15))^20,"")</f>
        <v/>
      </c>
      <c r="C23" s="28" t="str">
        <f aca="false">IF(20&lt;=Calculator!$B$6,Calculator!$B$5*(1+Calculator!$B$9)^20,"")</f>
        <v/>
      </c>
      <c r="D23" s="28" t="str">
        <f aca="false">IF(20&lt;=Calculator!$B$6,C23-(C23-Calculator!$B$5)*Calculator!$B$16,"")</f>
        <v/>
      </c>
    </row>
    <row r="24" customFormat="false" ht="15" hidden="false" customHeight="false" outlineLevel="0" collapsed="false">
      <c r="A24" s="24" t="str">
        <f aca="false">IF(21&lt;=Calculator!$B$6,21,"")</f>
        <v/>
      </c>
      <c r="B24" s="28" t="str">
        <f aca="false">IF(21&lt;=Calculator!$B$6,Calculator!$B$5*(1+Calculator!$B$14*(1-Calculator!$B$15))^21,"")</f>
        <v/>
      </c>
      <c r="C24" s="28" t="str">
        <f aca="false">IF(21&lt;=Calculator!$B$6,Calculator!$B$5*(1+Calculator!$B$9)^21,"")</f>
        <v/>
      </c>
      <c r="D24" s="28" t="str">
        <f aca="false">IF(21&lt;=Calculator!$B$6,C24-(C24-Calculator!$B$5)*Calculator!$B$16,"")</f>
        <v/>
      </c>
    </row>
    <row r="25" customFormat="false" ht="15" hidden="false" customHeight="false" outlineLevel="0" collapsed="false">
      <c r="A25" s="24" t="str">
        <f aca="false">IF(22&lt;=Calculator!$B$6,22,"")</f>
        <v/>
      </c>
      <c r="B25" s="28" t="str">
        <f aca="false">IF(22&lt;=Calculator!$B$6,Calculator!$B$5*(1+Calculator!$B$14*(1-Calculator!$B$15))^22,"")</f>
        <v/>
      </c>
      <c r="C25" s="28" t="str">
        <f aca="false">IF(22&lt;=Calculator!$B$6,Calculator!$B$5*(1+Calculator!$B$9)^22,"")</f>
        <v/>
      </c>
      <c r="D25" s="28" t="str">
        <f aca="false">IF(22&lt;=Calculator!$B$6,C25-(C25-Calculator!$B$5)*Calculator!$B$16,"")</f>
        <v/>
      </c>
    </row>
    <row r="26" customFormat="false" ht="15" hidden="false" customHeight="false" outlineLevel="0" collapsed="false">
      <c r="A26" s="24" t="str">
        <f aca="false">IF(23&lt;=Calculator!$B$6,23,"")</f>
        <v/>
      </c>
      <c r="B26" s="28" t="str">
        <f aca="false">IF(23&lt;=Calculator!$B$6,Calculator!$B$5*(1+Calculator!$B$14*(1-Calculator!$B$15))^23,"")</f>
        <v/>
      </c>
      <c r="C26" s="28" t="str">
        <f aca="false">IF(23&lt;=Calculator!$B$6,Calculator!$B$5*(1+Calculator!$B$9)^23,"")</f>
        <v/>
      </c>
      <c r="D26" s="28" t="str">
        <f aca="false">IF(23&lt;=Calculator!$B$6,C26-(C26-Calculator!$B$5)*Calculator!$B$16,"")</f>
        <v/>
      </c>
    </row>
    <row r="27" customFormat="false" ht="15" hidden="false" customHeight="false" outlineLevel="0" collapsed="false">
      <c r="A27" s="24" t="str">
        <f aca="false">IF(24&lt;=Calculator!$B$6,24,"")</f>
        <v/>
      </c>
      <c r="B27" s="28" t="str">
        <f aca="false">IF(24&lt;=Calculator!$B$6,Calculator!$B$5*(1+Calculator!$B$14*(1-Calculator!$B$15))^24,"")</f>
        <v/>
      </c>
      <c r="C27" s="28" t="str">
        <f aca="false">IF(24&lt;=Calculator!$B$6,Calculator!$B$5*(1+Calculator!$B$9)^24,"")</f>
        <v/>
      </c>
      <c r="D27" s="28" t="str">
        <f aca="false">IF(24&lt;=Calculator!$B$6,C27-(C27-Calculator!$B$5)*Calculator!$B$16,"")</f>
        <v/>
      </c>
    </row>
    <row r="28" customFormat="false" ht="15" hidden="false" customHeight="false" outlineLevel="0" collapsed="false">
      <c r="A28" s="24" t="str">
        <f aca="false">IF(25&lt;=Calculator!$B$6,25,"")</f>
        <v/>
      </c>
      <c r="B28" s="28" t="str">
        <f aca="false">IF(25&lt;=Calculator!$B$6,Calculator!$B$5*(1+Calculator!$B$14*(1-Calculator!$B$15))^25,"")</f>
        <v/>
      </c>
      <c r="C28" s="28" t="str">
        <f aca="false">IF(25&lt;=Calculator!$B$6,Calculator!$B$5*(1+Calculator!$B$9)^25,"")</f>
        <v/>
      </c>
      <c r="D28" s="28" t="str">
        <f aca="false">IF(25&lt;=Calculator!$B$6,C28-(C28-Calculator!$B$5)*Calculator!$B$16,"")</f>
        <v/>
      </c>
    </row>
    <row r="29" customFormat="false" ht="15" hidden="false" customHeight="false" outlineLevel="0" collapsed="false">
      <c r="A29" s="24" t="str">
        <f aca="false">IF(26&lt;=Calculator!$B$6,26,"")</f>
        <v/>
      </c>
      <c r="B29" s="28" t="str">
        <f aca="false">IF(26&lt;=Calculator!$B$6,Calculator!$B$5*(1+Calculator!$B$14*(1-Calculator!$B$15))^26,"")</f>
        <v/>
      </c>
      <c r="C29" s="28" t="str">
        <f aca="false">IF(26&lt;=Calculator!$B$6,Calculator!$B$5*(1+Calculator!$B$9)^26,"")</f>
        <v/>
      </c>
      <c r="D29" s="28" t="str">
        <f aca="false">IF(26&lt;=Calculator!$B$6,C29-(C29-Calculator!$B$5)*Calculator!$B$16,"")</f>
        <v/>
      </c>
    </row>
    <row r="30" customFormat="false" ht="15" hidden="false" customHeight="false" outlineLevel="0" collapsed="false">
      <c r="A30" s="24" t="str">
        <f aca="false">IF(27&lt;=Calculator!$B$6,27,"")</f>
        <v/>
      </c>
      <c r="B30" s="28" t="str">
        <f aca="false">IF(27&lt;=Calculator!$B$6,Calculator!$B$5*(1+Calculator!$B$14*(1-Calculator!$B$15))^27,"")</f>
        <v/>
      </c>
      <c r="C30" s="28" t="str">
        <f aca="false">IF(27&lt;=Calculator!$B$6,Calculator!$B$5*(1+Calculator!$B$9)^27,"")</f>
        <v/>
      </c>
      <c r="D30" s="28" t="str">
        <f aca="false">IF(27&lt;=Calculator!$B$6,C30-(C30-Calculator!$B$5)*Calculator!$B$16,"")</f>
        <v/>
      </c>
    </row>
    <row r="31" customFormat="false" ht="15" hidden="false" customHeight="false" outlineLevel="0" collapsed="false">
      <c r="A31" s="24" t="str">
        <f aca="false">IF(28&lt;=Calculator!$B$6,28,"")</f>
        <v/>
      </c>
      <c r="B31" s="28" t="str">
        <f aca="false">IF(28&lt;=Calculator!$B$6,Calculator!$B$5*(1+Calculator!$B$14*(1-Calculator!$B$15))^28,"")</f>
        <v/>
      </c>
      <c r="C31" s="28" t="str">
        <f aca="false">IF(28&lt;=Calculator!$B$6,Calculator!$B$5*(1+Calculator!$B$9)^28,"")</f>
        <v/>
      </c>
      <c r="D31" s="28" t="str">
        <f aca="false">IF(28&lt;=Calculator!$B$6,C31-(C31-Calculator!$B$5)*Calculator!$B$16,"")</f>
        <v/>
      </c>
    </row>
    <row r="32" customFormat="false" ht="15" hidden="false" customHeight="false" outlineLevel="0" collapsed="false">
      <c r="A32" s="24" t="str">
        <f aca="false">IF(29&lt;=Calculator!$B$6,29,"")</f>
        <v/>
      </c>
      <c r="B32" s="28" t="str">
        <f aca="false">IF(29&lt;=Calculator!$B$6,Calculator!$B$5*(1+Calculator!$B$14*(1-Calculator!$B$15))^29,"")</f>
        <v/>
      </c>
      <c r="C32" s="28" t="str">
        <f aca="false">IF(29&lt;=Calculator!$B$6,Calculator!$B$5*(1+Calculator!$B$9)^29,"")</f>
        <v/>
      </c>
      <c r="D32" s="28" t="str">
        <f aca="false">IF(29&lt;=Calculator!$B$6,C32-(C32-Calculator!$B$5)*Calculator!$B$16,"")</f>
        <v/>
      </c>
    </row>
    <row r="33" customFormat="false" ht="15" hidden="false" customHeight="false" outlineLevel="0" collapsed="false">
      <c r="A33" s="24" t="str">
        <f aca="false">IF(30&lt;=Calculator!$B$6,30,"")</f>
        <v/>
      </c>
      <c r="B33" s="28" t="str">
        <f aca="false">IF(30&lt;=Calculator!$B$6,Calculator!$B$5*(1+Calculator!$B$14*(1-Calculator!$B$15))^30,"")</f>
        <v/>
      </c>
      <c r="C33" s="28" t="str">
        <f aca="false">IF(30&lt;=Calculator!$B$6,Calculator!$B$5*(1+Calculator!$B$9)^30,"")</f>
        <v/>
      </c>
      <c r="D33" s="28" t="str">
        <f aca="false">IF(30&lt;=Calculator!$B$6,C33-(C33-Calculator!$B$5)*Calculator!$B$16,"")</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90"/>
  </cols>
  <sheetData>
    <row r="1" customFormat="false" ht="16.15" hidden="false" customHeight="false" outlineLevel="0" collapsed="false">
      <c r="A1" s="34" t="s">
        <v>57</v>
      </c>
    </row>
    <row r="2" customFormat="false" ht="15" hidden="false" customHeight="false" outlineLevel="0" collapsed="false">
      <c r="A2" s="17" t="s">
        <v>58</v>
      </c>
    </row>
    <row r="4" customFormat="false" ht="15" hidden="false" customHeight="false" outlineLevel="0" collapsed="false">
      <c r="A4" s="33" t="s">
        <v>59</v>
      </c>
      <c r="B4" s="33" t="s">
        <v>60</v>
      </c>
      <c r="C4" s="33" t="s">
        <v>61</v>
      </c>
    </row>
    <row r="5" customFormat="false" ht="15" hidden="false" customHeight="false" outlineLevel="0" collapsed="false">
      <c r="A5" s="19" t="s">
        <v>62</v>
      </c>
      <c r="B5" s="35" t="n">
        <v>0.04</v>
      </c>
      <c r="C5" s="36" t="s">
        <v>63</v>
      </c>
    </row>
    <row r="7" customFormat="false" ht="15" hidden="false" customHeight="false" outlineLevel="0" collapsed="false">
      <c r="A7" s="31" t="s">
        <v>64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7" min="2" style="0" width="20"/>
  </cols>
  <sheetData>
    <row r="1" customFormat="false" ht="15" hidden="false" customHeight="false" outlineLevel="0" collapsed="false">
      <c r="A1" s="32" t="s">
        <v>65</v>
      </c>
    </row>
    <row r="3" customFormat="false" ht="15" hidden="false" customHeight="false" outlineLevel="0" collapsed="false">
      <c r="A3" s="33" t="s">
        <v>66</v>
      </c>
      <c r="B3" s="33" t="s">
        <v>54</v>
      </c>
      <c r="C3" s="33" t="s">
        <v>67</v>
      </c>
    </row>
    <row r="4" customFormat="false" ht="15" hidden="false" customHeight="false" outlineLevel="0" collapsed="false">
      <c r="A4" s="19" t="s">
        <v>68</v>
      </c>
      <c r="B4" s="19" t="s">
        <v>69</v>
      </c>
      <c r="C4" s="19" t="s">
        <v>70</v>
      </c>
    </row>
    <row r="5" customFormat="false" ht="15" hidden="false" customHeight="false" outlineLevel="0" collapsed="false">
      <c r="A5" s="19" t="s">
        <v>71</v>
      </c>
      <c r="B5" s="19" t="s">
        <v>69</v>
      </c>
      <c r="C5" s="19" t="s">
        <v>72</v>
      </c>
    </row>
    <row r="6" customFormat="false" ht="15" hidden="false" customHeight="false" outlineLevel="0" collapsed="false">
      <c r="A6" s="19" t="s">
        <v>73</v>
      </c>
      <c r="B6" s="19" t="s">
        <v>69</v>
      </c>
      <c r="C6" s="19" t="s">
        <v>74</v>
      </c>
    </row>
    <row r="7" customFormat="false" ht="15" hidden="false" customHeight="false" outlineLevel="0" collapsed="false">
      <c r="A7" s="19" t="s">
        <v>75</v>
      </c>
      <c r="B7" s="19" t="s">
        <v>76</v>
      </c>
      <c r="C7" s="19" t="s">
        <v>76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2026-10-21T17:28:41Z</dcterms:created>
  <dc:creator>openpyxl</dc:creator>
  <dc:description/>
  <dc:language>en-US</dc:language>
  <cp:lastModifiedBy/>
  <dcterms:modified xsi:type="dcterms:W3CDTF">2026-10-21T17:28:41Z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